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xr:revisionPtr revIDLastSave="0" documentId="8_{46C39847-A589-4C16-A077-0EAA0578A6EC}" xr6:coauthVersionLast="47" xr6:coauthVersionMax="47" xr10:uidLastSave="{00000000-0000-0000-0000-000000000000}"/>
  <bookViews>
    <workbookView xWindow="0" yWindow="0" windowWidth="16384" windowHeight="8192" tabRatio="500" firstSheet="1" xr2:uid="{00000000-000D-0000-FFFF-FFFF00000000}"/>
  </bookViews>
  <sheets>
    <sheet name="Buy-Side Summary" sheetId="1" r:id="rId1"/>
    <sheet name="Sell-Side Summary" sheetId="2" r:id="rId2"/>
    <sheet name="Assumptions" sheetId="3" r:id="rId3"/>
    <sheet name="Competitive Comparison" sheetId="4" r:id="rId4"/>
    <sheet name="Addressable Revenue" sheetId="5" r:id="rId5"/>
    <sheet name="SS1-Unprofit Trades" sheetId="6" r:id="rId6"/>
    <sheet name="SS2-Capturing Trades" sheetId="7" r:id="rId7"/>
    <sheet name="SS3-Competition" sheetId="8" r:id="rId8"/>
    <sheet name="SS4-Inventory Risk" sheetId="9" r:id="rId9"/>
    <sheet name="SS5-Oper Efficiencies" sheetId="10" r:id="rId10"/>
    <sheet name="BS1-Trading Losses" sheetId="11" r:id="rId11"/>
    <sheet name="BS2-Hedging Costs" sheetId="12" r:id="rId12"/>
    <sheet name="BS3-Alpha Generation" sheetId="13" r:id="rId13"/>
    <sheet name="BS4-MtM Volatility" sheetId="14" r:id="rId14"/>
    <sheet name="BS5-Opportunity Costs" sheetId="15" r:id="rId15"/>
    <sheet name="BS6-Perf Attribution" sheetId="16" r:id="rId16"/>
    <sheet name="BS7-Portfolio Optim" sheetId="17" r:id="rId17"/>
    <sheet name="BS8-Regulatory" sheetId="18" r:id="rId18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" i="18" l="1"/>
  <c r="C11" i="18" s="1"/>
  <c r="C12" i="18" s="1"/>
  <c r="C13" i="18" s="1"/>
  <c r="C14" i="18" s="1"/>
  <c r="C16" i="18" s="1"/>
  <c r="C39" i="17"/>
  <c r="C21" i="17"/>
  <c r="C29" i="17" s="1"/>
  <c r="C30" i="17" s="1"/>
  <c r="C31" i="17" s="1"/>
  <c r="C32" i="17" s="1"/>
  <c r="C33" i="17" s="1"/>
  <c r="C8" i="17"/>
  <c r="C6" i="17"/>
  <c r="C13" i="17" s="1"/>
  <c r="C14" i="17" s="1"/>
  <c r="C15" i="17" s="1"/>
  <c r="C16" i="17" s="1"/>
  <c r="C17" i="17" s="1"/>
  <c r="C41" i="17" s="1"/>
  <c r="C23" i="15"/>
  <c r="C16" i="14"/>
  <c r="C17" i="14" s="1"/>
  <c r="C19" i="14" s="1"/>
  <c r="C4" i="13"/>
  <c r="C4" i="10"/>
  <c r="C11" i="10" s="1"/>
  <c r="C12" i="10" s="1"/>
  <c r="C14" i="10" s="1"/>
  <c r="C5" i="9"/>
  <c r="C4" i="9"/>
  <c r="C6" i="9" s="1"/>
  <c r="C11" i="9" s="1"/>
  <c r="C14" i="9" s="1"/>
  <c r="C4" i="8"/>
  <c r="C4" i="7"/>
  <c r="C4" i="6"/>
  <c r="E20" i="5"/>
  <c r="D20" i="5"/>
  <c r="C20" i="5"/>
  <c r="C20" i="4"/>
  <c r="B20" i="4"/>
  <c r="C19" i="4"/>
  <c r="B19" i="4"/>
  <c r="C18" i="4"/>
  <c r="B18" i="4"/>
  <c r="E13" i="4"/>
  <c r="D13" i="4"/>
  <c r="C13" i="4"/>
  <c r="E12" i="4"/>
  <c r="D12" i="4"/>
  <c r="C12" i="4"/>
  <c r="E11" i="4"/>
  <c r="D11" i="4"/>
  <c r="C11" i="4"/>
  <c r="E10" i="4"/>
  <c r="D10" i="4"/>
  <c r="C10" i="4"/>
  <c r="E8" i="4"/>
  <c r="D8" i="4"/>
  <c r="C8" i="4"/>
  <c r="E7" i="4"/>
  <c r="D7" i="4"/>
  <c r="C7" i="4"/>
  <c r="E6" i="4"/>
  <c r="D6" i="4"/>
  <c r="C6" i="4"/>
  <c r="E5" i="4"/>
  <c r="D5" i="4"/>
  <c r="C5" i="4"/>
  <c r="E65" i="3"/>
  <c r="D65" i="3"/>
  <c r="C65" i="3"/>
  <c r="E64" i="3"/>
  <c r="D64" i="3"/>
  <c r="C64" i="3"/>
  <c r="C66" i="3" s="1"/>
  <c r="E56" i="3"/>
  <c r="D56" i="3"/>
  <c r="C56" i="3"/>
  <c r="E55" i="3"/>
  <c r="D55" i="3"/>
  <c r="C55" i="3"/>
  <c r="C57" i="3" s="1"/>
  <c r="E38" i="3"/>
  <c r="D38" i="3"/>
  <c r="C38" i="3"/>
  <c r="E34" i="3"/>
  <c r="D34" i="3"/>
  <c r="C34" i="3"/>
  <c r="C15" i="3"/>
  <c r="C14" i="3"/>
  <c r="C16" i="3" s="1"/>
  <c r="C10" i="3"/>
  <c r="C9" i="3"/>
  <c r="E9" i="2"/>
  <c r="E8" i="2"/>
  <c r="E12" i="1"/>
  <c r="E11" i="1"/>
  <c r="E9" i="1"/>
  <c r="E8" i="1"/>
  <c r="C4" i="15" l="1"/>
  <c r="C14" i="15" s="1"/>
  <c r="C4" i="11"/>
  <c r="C5" i="15"/>
  <c r="C15" i="15" s="1"/>
  <c r="C5" i="11"/>
  <c r="C5" i="14"/>
  <c r="C5" i="12"/>
  <c r="C4" i="14"/>
  <c r="C4" i="12"/>
  <c r="C46" i="3"/>
  <c r="C41" i="3"/>
  <c r="D46" i="3"/>
  <c r="D41" i="3"/>
  <c r="C6" i="12" s="1"/>
  <c r="E46" i="3"/>
  <c r="E41" i="3"/>
  <c r="C5" i="10" s="1"/>
  <c r="C47" i="3"/>
  <c r="C9" i="15" s="1"/>
  <c r="C42" i="3"/>
  <c r="D47" i="3"/>
  <c r="D42" i="3"/>
  <c r="C7" i="12" s="1"/>
  <c r="E47" i="3"/>
  <c r="E42" i="3"/>
  <c r="C6" i="10" s="1"/>
  <c r="C11" i="8"/>
  <c r="C12" i="8" s="1"/>
  <c r="C14" i="8" s="1"/>
  <c r="C10" i="8"/>
  <c r="E7" i="2" l="1"/>
  <c r="C7" i="14"/>
  <c r="C7" i="11"/>
  <c r="C6" i="14"/>
  <c r="C6" i="11"/>
  <c r="C43" i="3"/>
  <c r="C8" i="15"/>
  <c r="C5" i="13"/>
  <c r="C8" i="13" s="1"/>
  <c r="C12" i="13" s="1"/>
  <c r="C13" i="13" s="1"/>
  <c r="C15" i="13" s="1"/>
  <c r="C11" i="12"/>
  <c r="C13" i="14"/>
  <c r="C12" i="12"/>
  <c r="C14" i="14"/>
  <c r="C12" i="11"/>
  <c r="C17" i="15"/>
  <c r="C20" i="15" s="1"/>
  <c r="C11" i="11"/>
  <c r="C13" i="11" s="1"/>
  <c r="C14" i="11" s="1"/>
  <c r="C16" i="11" s="1"/>
  <c r="C16" i="15"/>
  <c r="C19" i="15" l="1"/>
  <c r="C21" i="15" s="1"/>
  <c r="C18" i="15"/>
  <c r="G5" i="1"/>
  <c r="F5" i="1"/>
  <c r="E5" i="1"/>
  <c r="C15" i="14"/>
  <c r="C4" i="16" s="1"/>
  <c r="C8" i="16" s="1"/>
  <c r="C10" i="16" s="1"/>
  <c r="C13" i="12"/>
  <c r="C14" i="12" s="1"/>
  <c r="C16" i="12" s="1"/>
  <c r="G7" i="1"/>
  <c r="F7" i="1"/>
  <c r="E7" i="1"/>
  <c r="C5" i="7"/>
  <c r="C9" i="7" s="1"/>
  <c r="C10" i="7" s="1"/>
  <c r="C12" i="7" s="1"/>
  <c r="C5" i="6"/>
  <c r="C9" i="6" s="1"/>
  <c r="C10" i="6" s="1"/>
  <c r="C12" i="6" s="1"/>
  <c r="G9" i="2"/>
  <c r="F9" i="2"/>
  <c r="G8" i="2"/>
  <c r="F8" i="2"/>
  <c r="G12" i="1"/>
  <c r="F12" i="1"/>
  <c r="G11" i="1"/>
  <c r="F11" i="1"/>
  <c r="G9" i="1"/>
  <c r="F9" i="1"/>
  <c r="G8" i="1"/>
  <c r="F8" i="1"/>
  <c r="G7" i="2"/>
  <c r="F7" i="2"/>
  <c r="G5" i="2" l="1"/>
  <c r="F5" i="2"/>
  <c r="E5" i="2"/>
  <c r="G6" i="2"/>
  <c r="F6" i="2"/>
  <c r="E6" i="2"/>
  <c r="G6" i="1"/>
  <c r="F6" i="1"/>
  <c r="E6" i="1"/>
  <c r="G10" i="1"/>
  <c r="F10" i="1"/>
  <c r="E10" i="1"/>
  <c r="E13" i="1"/>
  <c r="F13" i="1"/>
  <c r="G13" i="1"/>
  <c r="E10" i="2" l="1"/>
  <c r="E15" i="1" s="1"/>
  <c r="C4" i="5" s="1"/>
  <c r="F10" i="2"/>
  <c r="F15" i="1" s="1"/>
  <c r="G10" i="2"/>
  <c r="G15" i="1" s="1"/>
  <c r="E13" i="5" l="1"/>
  <c r="E22" i="5" s="1"/>
  <c r="D13" i="5"/>
  <c r="D22" i="5" s="1"/>
  <c r="C13" i="5"/>
  <c r="C22" i="5" s="1"/>
</calcChain>
</file>

<file path=xl/sharedStrings.xml><?xml version="1.0" encoding="utf-8"?>
<sst xmlns="http://schemas.openxmlformats.org/spreadsheetml/2006/main" count="613" uniqueCount="384">
  <si>
    <t>Buy-Side P&amp;L Benefits from Improved Pricing Accuracy</t>
  </si>
  <si>
    <t>Notes: Benefits include conversion factors applied in each detail tab. Blue cells adjustable on detail tabs.</t>
  </si>
  <si>
    <t>#</t>
  </si>
  <si>
    <t>Fund Benefit</t>
  </si>
  <si>
    <t>Description</t>
  </si>
  <si>
    <t>Error Metric</t>
  </si>
  <si>
    <t>P&amp;L vs CP+ ($B)</t>
  </si>
  <si>
    <t>vs ICE CEP ($B)</t>
  </si>
  <si>
    <t>vs BondCliQ ($B)</t>
  </si>
  <si>
    <t>Direct Trading Losses</t>
  </si>
  <si>
    <t>Reduces slippage on executed trades</t>
  </si>
  <si>
    <t>Median</t>
  </si>
  <si>
    <t>Suboptimal Hedging &amp; Risk</t>
  </si>
  <si>
    <t>Lowers excess hedging costs</t>
  </si>
  <si>
    <t>75th Pctl</t>
  </si>
  <si>
    <t>Alpha Generation</t>
  </si>
  <si>
    <t>Better signal quality for rel value</t>
  </si>
  <si>
    <t>MtM &amp; P&amp;L Volatility</t>
  </si>
  <si>
    <t>Stabilizes portfolio valuations</t>
  </si>
  <si>
    <t>Opportunity Costs</t>
  </si>
  <si>
    <t>Unlocks suppressed trades</t>
  </si>
  <si>
    <t>Performance Attribution</t>
  </si>
  <si>
    <t>Accurate return decomposition</t>
  </si>
  <si>
    <t>Portfolio Optimization</t>
  </si>
  <si>
    <t>Joint execution &amp; macro-conditional pricing</t>
  </si>
  <si>
    <t>Mixed</t>
  </si>
  <si>
    <t>Regulatory &amp; Compliance</t>
  </si>
  <si>
    <t>Fewer audit triggers, restatements</t>
  </si>
  <si>
    <t>95th Pctl</t>
  </si>
  <si>
    <t>TOTAL BUY-SIDE</t>
  </si>
  <si>
    <t>COMBINED (SELL + BUY)</t>
  </si>
  <si>
    <t>Sell-Side P&amp;L Benefits of Improved Pricing Accuracy</t>
  </si>
  <si>
    <t>Notes: Benefits are industry-wide estimates. Blue cells are user-adjustable assumptions on each detail tab.</t>
  </si>
  <si>
    <t>Dealer Benefit</t>
  </si>
  <si>
    <t>Preventing Unprofitable Trades</t>
  </si>
  <si>
    <t>Prevents trades revealed unprofitable by better signals</t>
  </si>
  <si>
    <t>Wtd Median</t>
  </si>
  <si>
    <t>Capturing New Trades</t>
  </si>
  <si>
    <t>Enables trades previously missed</t>
  </si>
  <si>
    <t>Enhanced Competition</t>
  </si>
  <si>
    <t>10-15% share shift to smaller dealers</t>
  </si>
  <si>
    <t>Independent</t>
  </si>
  <si>
    <t>Inventory &amp; Risk Management</t>
  </si>
  <si>
    <t>10-20% lower holding costs</t>
  </si>
  <si>
    <t>Operational Efficiencies</t>
  </si>
  <si>
    <t>Reduced disputes, 5-10bp savings</t>
  </si>
  <si>
    <t>TOTAL SELL-SIDE</t>
  </si>
  <si>
    <t>Deep MM AXOR Corporate Bond Industry Benefits Model</t>
  </si>
  <si>
    <t>MARKET DATA ASSUMPTIONS</t>
  </si>
  <si>
    <t>US Corporate Credit Market (2025)</t>
  </si>
  <si>
    <t>Value</t>
  </si>
  <si>
    <t>Units</t>
  </si>
  <si>
    <t>Source</t>
  </si>
  <si>
    <t>Total Traded Volume</t>
  </si>
  <si>
    <t>Trillions</t>
  </si>
  <si>
    <t>SIFMA 2025 [12]</t>
  </si>
  <si>
    <t>IG Share of Volume</t>
  </si>
  <si>
    <t>HY Share of Volume</t>
  </si>
  <si>
    <t>IG Traded Volume</t>
  </si>
  <si>
    <t>HY Traded Volume</t>
  </si>
  <si>
    <t>Total Outstanding Amount</t>
  </si>
  <si>
    <t>IG Share of Outstanding</t>
  </si>
  <si>
    <t>HY Share of Outstanding</t>
  </si>
  <si>
    <t>IG Outstanding Amount</t>
  </si>
  <si>
    <t>HY Outstanding Amount</t>
  </si>
  <si>
    <t>Total Dealer Revenue (est.)</t>
  </si>
  <si>
    <t>Billions</t>
  </si>
  <si>
    <t>Greenwich 2024 + growth [13]</t>
  </si>
  <si>
    <t>Dealer Inventory (est.)</t>
  </si>
  <si>
    <t>ADV $58.8B x ~5 day hold</t>
  </si>
  <si>
    <t>Avg Transaction Cost (wtd IG/HY)</t>
  </si>
  <si>
    <t>bps</t>
  </si>
  <si>
    <t>Annual Inventory Cost Rate</t>
  </si>
  <si>
    <t>Funding + capital</t>
  </si>
  <si>
    <t>Active Corporate Bond AUM</t>
  </si>
  <si>
    <t>~60% of $5T total fund AUM [12]</t>
  </si>
  <si>
    <t>Corp Bond Fund AUM</t>
  </si>
  <si>
    <t>Insurance Co. Corporate Bond Holdings</t>
  </si>
  <si>
    <t>NAIC [14]</t>
  </si>
  <si>
    <t>Pension Fund Corporate Bond Holdings</t>
  </si>
  <si>
    <t>WTW [10]</t>
  </si>
  <si>
    <t>Industry Hedging Costs (annual)</t>
  </si>
  <si>
    <t>Midpoint of $20-30B range [9, 18]</t>
  </si>
  <si>
    <t>Industry Compliance Costs (annual)</t>
  </si>
  <si>
    <t>Midpoint of $13-20B [26, 27]</t>
  </si>
  <si>
    <t>DEEP MM vs CP+ ACCURACY METRICS</t>
  </si>
  <si>
    <t>Price Absolute Error ($ per $100 par)</t>
  </si>
  <si>
    <t>Trade Count</t>
  </si>
  <si>
    <t>IG (Deep MM)</t>
  </si>
  <si>
    <t>IG (CP+)</t>
  </si>
  <si>
    <t>IG Improvement (Deep MM vs CP+)</t>
  </si>
  <si>
    <t>HY (Deep MM)</t>
  </si>
  <si>
    <t>HY (CP+)</t>
  </si>
  <si>
    <t>HY Improvement (Deep MM vs CP+)</t>
  </si>
  <si>
    <t>Error Reduction as % of Par</t>
  </si>
  <si>
    <t>IG Error Reduction (%)</t>
  </si>
  <si>
    <t>HY Error Reduction (%)</t>
  </si>
  <si>
    <t>Wtd Median Error Reduction (%)</t>
  </si>
  <si>
    <t>Used in Sell-Side calcs</t>
  </si>
  <si>
    <t>Relative Improvement (%) vs CP+</t>
  </si>
  <si>
    <t>IG Relative Improvement</t>
  </si>
  <si>
    <t>HY Relative Improvement</t>
  </si>
  <si>
    <t>DEEP MM vs ICE CEP (ESTIMATED)</t>
  </si>
  <si>
    <t>ICE CEP Estimated Error ($ per $100 par)</t>
  </si>
  <si>
    <t>Basis</t>
  </si>
  <si>
    <t xml:space="preserve">  IG (ICE CEP est.)</t>
  </si>
  <si>
    <t>Midpoint of SS&amp;C range [30]</t>
  </si>
  <si>
    <t xml:space="preserve">  HY (ICE CEP est.)</t>
  </si>
  <si>
    <t>SS&amp;C: ICE slightly wider for HY [30]</t>
  </si>
  <si>
    <t xml:space="preserve">  IG Improvement (Deep MM vs ICE CEP)</t>
  </si>
  <si>
    <t xml:space="preserve">  HY Improvement (Deep MM vs ICE CEP)</t>
  </si>
  <si>
    <t xml:space="preserve">  Wtd Median Error Reduction vs ICE CEP (%)</t>
  </si>
  <si>
    <t>DEEP MM vs BONDCLIQ MID (ESTIMATED)</t>
  </si>
  <si>
    <t>BondCliQ Mid Estimated Error ($ per $100 par)</t>
  </si>
  <si>
    <t xml:space="preserve">  IG (BondCliQ est.)</t>
  </si>
  <si>
    <t>Harris (2022) range midpoint [31]</t>
  </si>
  <si>
    <t xml:space="preserve">  HY (BondCliQ est.)</t>
  </si>
  <si>
    <t>Harris (2022): HY quotes wider [31]</t>
  </si>
  <si>
    <t xml:space="preserve">  IG Improvement (Deep MM vs BondCliQ)</t>
  </si>
  <si>
    <t xml:space="preserve">  HY Improvement (Deep MM vs BondCliQ)</t>
  </si>
  <si>
    <t xml:space="preserve">  Wtd Median Error Reduction vs BondCliQ (%)</t>
  </si>
  <si>
    <t>Source: Deep MM Accuracy Report V5.1 (Sept 2025); CP+ Whitepaper p.11; SS&amp;C Benchmark [30]; Harris (2022) [31]</t>
  </si>
  <si>
    <t>Competitive Pricing Accuracy Comparison</t>
  </si>
  <si>
    <t>Deep MM and CP+ are published. ICE CEP and BondCliQ are estimates. See Competitive Landscape section of report.</t>
  </si>
  <si>
    <t>Segment</t>
  </si>
  <si>
    <t>Provider</t>
  </si>
  <si>
    <t>Source / Basis</t>
  </si>
  <si>
    <t>Data Type</t>
  </si>
  <si>
    <t>Confidence</t>
  </si>
  <si>
    <t>IG</t>
  </si>
  <si>
    <t>Deep MM</t>
  </si>
  <si>
    <t>Published, 315K trades</t>
  </si>
  <si>
    <t>Actual</t>
  </si>
  <si>
    <t>●●●●●</t>
  </si>
  <si>
    <t>CP+ (MarketAxess)</t>
  </si>
  <si>
    <t>Published, 510K trades</t>
  </si>
  <si>
    <t>ICE CEP (est.)</t>
  </si>
  <si>
    <t>SS&amp;C Benchmark [30]</t>
  </si>
  <si>
    <t>Estimate</t>
  </si>
  <si>
    <t>●●●○○</t>
  </si>
  <si>
    <t>BondCliQ Mid (est.)</t>
  </si>
  <si>
    <t>Harris (2022) [31]</t>
  </si>
  <si>
    <t>●●○○○</t>
  </si>
  <si>
    <t>HY</t>
  </si>
  <si>
    <t>Published, 98K trades</t>
  </si>
  <si>
    <t>Published, 193K trades</t>
  </si>
  <si>
    <t>Deep MM Advantage (Median)</t>
  </si>
  <si>
    <t>Competitor</t>
  </si>
  <si>
    <t>IG Advantage</t>
  </si>
  <si>
    <t>HY Advantage</t>
  </si>
  <si>
    <t>CP+</t>
  </si>
  <si>
    <t>Published vs published</t>
  </si>
  <si>
    <t>Published vs estimated</t>
  </si>
  <si>
    <t>Deep MM's Addressable Share of Industry Benefits</t>
  </si>
  <si>
    <t>SCENARIO ASSUMPTIONS</t>
  </si>
  <si>
    <t>Combined Industry Benefit vs CP+ ($B)</t>
  </si>
  <si>
    <t>Conservative</t>
  </si>
  <si>
    <t>Base Case</t>
  </si>
  <si>
    <t>Optimistic</t>
  </si>
  <si>
    <t>Year 1-2</t>
  </si>
  <si>
    <t>Year 3-5</t>
  </si>
  <si>
    <t>Year 5-10</t>
  </si>
  <si>
    <t>Market Penetration Rate</t>
  </si>
  <si>
    <t>Value Capture Rate</t>
  </si>
  <si>
    <t>Competitive Share</t>
  </si>
  <si>
    <t>CORE PRICING REVENUE</t>
  </si>
  <si>
    <t>Core Pricing Revenue ($M)</t>
  </si>
  <si>
    <t>ADJACENT INFRASTRUCTURE</t>
  </si>
  <si>
    <t>Trading platform licensing ($M)</t>
  </si>
  <si>
    <t>Portfolio analytics ($M)</t>
  </si>
  <si>
    <t>Compliance tools ($M)</t>
  </si>
  <si>
    <t>Index &amp; benchmark ($M)</t>
  </si>
  <si>
    <t>Total Adjacent Revenue ($M)</t>
  </si>
  <si>
    <t>TOTAL ADDRESSABLE REVENUE ($M)</t>
  </si>
  <si>
    <t>SS1: Preventing Unprofitable Trades</t>
  </si>
  <si>
    <t>KEY ASSUMPTIONS</t>
  </si>
  <si>
    <t>Source / Notes</t>
  </si>
  <si>
    <t>Total Traded Volume ($T)</t>
  </si>
  <si>
    <t>From Assumptions</t>
  </si>
  <si>
    <t>Split factor (half to preventing, half to capturing)</t>
  </si>
  <si>
    <t>Symmetric split</t>
  </si>
  <si>
    <t>CALCULATION</t>
  </si>
  <si>
    <t>Gross error reduction ($B)</t>
  </si>
  <si>
    <t>Allocated to preventing unprofitable trades</t>
  </si>
  <si>
    <t>SELL-SIDE BENEFIT: Preventing Unprofitable Trades</t>
  </si>
  <si>
    <t>NOTES</t>
  </si>
  <si>
    <t>Half of total impact from weighted median error reduction on traded volume.</t>
  </si>
  <si>
    <t>Proxies incremental spread capture improvements avoiding losses across all trades.</t>
  </si>
  <si>
    <t>SS2: Capturing New Trades</t>
  </si>
  <si>
    <t>Split factor (half to capturing new trades)</t>
  </si>
  <si>
    <t>Allocated to capturing new trades</t>
  </si>
  <si>
    <t>SELL-SIDE BENEFIT: Capturing New Trades</t>
  </si>
  <si>
    <t>Enables trades previously missed by now being on-market with accurate pricing.</t>
  </si>
  <si>
    <t>SS3: Enhanced Competition</t>
  </si>
  <si>
    <t>Total Dealer Revenue ($B)</t>
  </si>
  <si>
    <t>Nonbank/smaller dealer share</t>
  </si>
  <si>
    <t>Est. 10-20%</t>
  </si>
  <si>
    <t>Market share shift from better pricing</t>
  </si>
  <si>
    <t>Est. 10-15%</t>
  </si>
  <si>
    <t>Growth factor for scaling</t>
  </si>
  <si>
    <t>x</t>
  </si>
  <si>
    <t>Post-crisis cost doublings</t>
  </si>
  <si>
    <t>Smaller dealer revenue base ($B)</t>
  </si>
  <si>
    <t>Share shift revenue ($B)</t>
  </si>
  <si>
    <t>Scaled benefit ($B)</t>
  </si>
  <si>
    <t>SELL-SIDE BENEFIT: Enhanced Competition</t>
  </si>
  <si>
    <t>Levels field for smaller dealers via more reliable pricing.</t>
  </si>
  <si>
    <t>Independent of volume base calculation.</t>
  </si>
  <si>
    <t>SS4: Inventory &amp; Risk Management</t>
  </si>
  <si>
    <t>Dealer Inventory ($B)</t>
  </si>
  <si>
    <t>Annual Inventory Costs ($B)</t>
  </si>
  <si>
    <t>Effective savings rate</t>
  </si>
  <si>
    <t>From 75th pctl ~43-48% improvement [9, 18]</t>
  </si>
  <si>
    <t>Savings ($B)</t>
  </si>
  <si>
    <t>SELL-SIDE BENEFIT: Inventory &amp; Risk Management</t>
  </si>
  <si>
    <t>75th pctl error reduction proxies mitigation of risk mismeasurement.</t>
  </si>
  <si>
    <t>Scaled for hedging costs and post-crisis cost structure.</t>
  </si>
  <si>
    <t>SS5: Operational Efficiencies</t>
  </si>
  <si>
    <t>95th Pctl Error IG (bps)</t>
  </si>
  <si>
    <t>95th Pctl Error HY (bps)</t>
  </si>
  <si>
    <t>Wtd avg avoided cost (bps)</t>
  </si>
  <si>
    <t>Conservative: ~2.3-3.7bp range</t>
  </si>
  <si>
    <t>Dispute-specific adjustment</t>
  </si>
  <si>
    <t>Dispute/ops share of total avoided costs</t>
  </si>
  <si>
    <t>Gross savings ($B)</t>
  </si>
  <si>
    <t>Adjusted for dispute-specific share</t>
  </si>
  <si>
    <t>SELL-SIDE BENEFIT: Operational Efficiencies</t>
  </si>
  <si>
    <t>95th pctl error reduction equates to ~2.3-3.7bp avoided costs.</t>
  </si>
  <si>
    <t>Conservatively adjusted for dispute-specific efficiencies.</t>
  </si>
  <si>
    <t>BS1: Direct Trading Losses from Misexecution</t>
  </si>
  <si>
    <t>IG Traded Volume ($T)</t>
  </si>
  <si>
    <t>HY Traded Volume ($T)</t>
  </si>
  <si>
    <t>IG Median Error Reduction (%)</t>
  </si>
  <si>
    <t>HY Median Error Reduction (%)</t>
  </si>
  <si>
    <t>Conversion Factor (OTC market)</t>
  </si>
  <si>
    <t>See doc Section 1 derivation</t>
  </si>
  <si>
    <t>IG gross error reduction ($B)</t>
  </si>
  <si>
    <t>HY gross error reduction ($B)</t>
  </si>
  <si>
    <t>Total gross ($B)</t>
  </si>
  <si>
    <t>Net after conversion factor ($B)</t>
  </si>
  <si>
    <t>BUY-SIDE BENEFIT: Direct Trading Losses</t>
  </si>
  <si>
    <t>Conversion factor = RFQ competition (87.5%) x electronic blend (87%) x directional cancellation (80%) ≈ 65%.</t>
  </si>
  <si>
    <t>Captures execution improvement on trades that actually occurred.</t>
  </si>
  <si>
    <t>BS2: Suboptimal Hedging &amp; Risk Management Costs</t>
  </si>
  <si>
    <t>IG Outstanding ($T)</t>
  </si>
  <si>
    <t>HY Outstanding ($T)</t>
  </si>
  <si>
    <t>IG 75th Pctl Error Reduction (%)</t>
  </si>
  <si>
    <t>HY 75th Pctl Error Reduction (%)</t>
  </si>
  <si>
    <t>ICE-derived marginal cost rate</t>
  </si>
  <si>
    <t>Industry excess $3.75B / mismeasurement $27.3B [9,18]</t>
  </si>
  <si>
    <t>IG risk mismeasurement reduction ($B)</t>
  </si>
  <si>
    <t>HY risk mismeasurement reduction ($B)</t>
  </si>
  <si>
    <t>Total mismeasurement reduction ($B)</t>
  </si>
  <si>
    <t>Hedging savings = mismeasurement × marginal rate</t>
  </si>
  <si>
    <t>BUY-SIDE BENEFIT: Suboptimal Hedging ($B)</t>
  </si>
  <si>
    <t>75th percentile used because hedging protects against worse-than-average outcomes.</t>
  </si>
  <si>
    <t>Marginal rate: industry excess hedging $3.75B / total pricing error $27.3B = 13.7%.</t>
  </si>
  <si>
    <t>Consistent with BIS [9] and ISDA [18] findings on hedge cost excess.</t>
  </si>
  <si>
    <t>BS3: Alpha Generation from Improved Signal Accuracy</t>
  </si>
  <si>
    <t>Active Corporate Bond AUM ($T)</t>
  </si>
  <si>
    <t>Deep MM median relative improvement (%)</t>
  </si>
  <si>
    <t>~42% for IG</t>
  </si>
  <si>
    <t>Usable SNR improvement (% of theoretical)</t>
  </si>
  <si>
    <t>~half of theoretical max</t>
  </si>
  <si>
    <t>Base alpha from value factors (bps)</t>
  </si>
  <si>
    <t>Israel et al [5]: 30-60bp</t>
  </si>
  <si>
    <t>Incremental alpha rate (bps)</t>
  </si>
  <si>
    <t>Capture rate (competition, txn costs)</t>
  </si>
  <si>
    <t>Not all managers use quant signals</t>
  </si>
  <si>
    <t>Gross incremental alpha ($B)</t>
  </si>
  <si>
    <t>Net after capture rate ($B)</t>
  </si>
  <si>
    <t>BUY-SIDE BENEFIT: Alpha Generation</t>
  </si>
  <si>
    <t>SNR improvement of ~25-35% in relative value identification.</t>
  </si>
  <si>
    <t>Distinct from Sections 1 and 5: measures quality of trade selection.</t>
  </si>
  <si>
    <t>BS4: Mark-to-Market Valuation &amp; P&amp;L Volatility</t>
  </si>
  <si>
    <t>AUM erosion channel ($M)</t>
  </si>
  <si>
    <t>$M</t>
  </si>
  <si>
    <t>Midpoint $200-500M [11]</t>
  </si>
  <si>
    <t>Capital buffer channel ($M)</t>
  </si>
  <si>
    <t>Midpoint $150-350M [14, 10]</t>
  </si>
  <si>
    <t>Suboptimal rebalancing channel ($M)</t>
  </si>
  <si>
    <t>Midpoint $250-550M</t>
  </si>
  <si>
    <t>IG valuation noise reduction ($B)</t>
  </si>
  <si>
    <t>HY valuation noise reduction ($B)</t>
  </si>
  <si>
    <t>Total valuation noise reduction ($B)</t>
  </si>
  <si>
    <t>Sum of cost channels ($M)</t>
  </si>
  <si>
    <t>Sum of cost channels ($B)</t>
  </si>
  <si>
    <t>BUY-SIDE BENEFIT: MtM &amp; P&amp;L Volatility</t>
  </si>
  <si>
    <t>$5.1B is total noise reduction; actual cost flows through 3 channels.</t>
  </si>
  <si>
    <t>Cross-checked vs top-down: 0.05-0.1% of AUM x 5-15% pricing share.</t>
  </si>
  <si>
    <t>BS5: Opportunity Costs from Pricing Uncertainty</t>
  </si>
  <si>
    <t>IG suppression rate</t>
  </si>
  <si>
    <t>6% from Greenwich [13]</t>
  </si>
  <si>
    <t>HY suppression rate</t>
  </si>
  <si>
    <t>15% from Greenwich [13]</t>
  </si>
  <si>
    <t>IG recovery rate (Deep MM improvement)</t>
  </si>
  <si>
    <t>~42%</t>
  </si>
  <si>
    <t>HY recovery rate (Deep MM improvement)</t>
  </si>
  <si>
    <t>~47%</t>
  </si>
  <si>
    <t>IG net alpha on recovered trades (bps)</t>
  </si>
  <si>
    <t>Gross 25-35bp less 20bp txn</t>
  </si>
  <si>
    <t>HY net alpha on recovered trades (bps)</t>
  </si>
  <si>
    <t>Gross 80-100bp less 60bp txn</t>
  </si>
  <si>
    <t>IG suppressed volume ($T)</t>
  </si>
  <si>
    <t>HY suppressed volume ($T)</t>
  </si>
  <si>
    <t>IG recoverable ($T)</t>
  </si>
  <si>
    <t>HY recoverable ($T)</t>
  </si>
  <si>
    <t>Total recoverable ($T)</t>
  </si>
  <si>
    <t>IG profit ($B)</t>
  </si>
  <si>
    <t>HY profit ($B)</t>
  </si>
  <si>
    <t>Total ($B)</t>
  </si>
  <si>
    <t>Conservative adjustment</t>
  </si>
  <si>
    <t>Document rounds $1.14B → $1.0B (marginal trade alpha conservatism)</t>
  </si>
  <si>
    <t>BUY-SIDE BENEFIT: Opportunity Costs</t>
  </si>
  <si>
    <t>Measures profits from trades that never happened due to pricing uncertainty.</t>
  </si>
  <si>
    <t>Completely separate base from Section 1 (which covers trades that DID happen).</t>
  </si>
  <si>
    <t>BS6: Performance Attribution &amp; Incentive Misalignments</t>
  </si>
  <si>
    <t>From BS4</t>
  </si>
  <si>
    <t>Attribution factor</t>
  </si>
  <si>
    <t>10% of noise -&gt; attribution costs</t>
  </si>
  <si>
    <t>Attribution-related savings ($B)</t>
  </si>
  <si>
    <t>BUY-SIDE BENEFIT: Performance Attribution</t>
  </si>
  <si>
    <t>Conservative: only 10% of valuation noise systematically biases attribution.</t>
  </si>
  <si>
    <t>Covers fee miscalculations, misallocated capital, misaligned incentives.</t>
  </si>
  <si>
    <t>BS7: Portfolio Optimization from Joint Execution and Macro-Conditional Pricing</t>
  </si>
  <si>
    <t>Three channels: liquidity-aware execution, macro-conditional scenario, and joint synergy.</t>
  </si>
  <si>
    <t>CHANNEL 1: LIQUIDITY-AWARE EXECUTION</t>
  </si>
  <si>
    <t>Share of RFQs affected by bad liquidity est.</t>
  </si>
  <si>
    <t>%</t>
  </si>
  <si>
    <t>10-15% range, midpoint [13]</t>
  </si>
  <si>
    <t>Avg Transaction Cost</t>
  </si>
  <si>
    <t>Execution shortfall reduction</t>
  </si>
  <si>
    <t>AXOR backtest: 20-30%</t>
  </si>
  <si>
    <t>Market adoption rate</t>
  </si>
  <si>
    <t>Sophisticated firms only</t>
  </si>
  <si>
    <t>Calculation</t>
  </si>
  <si>
    <t>Affected volume ($T)</t>
  </si>
  <si>
    <t>Gross cost on affected trades ($B)</t>
  </si>
  <si>
    <t>Reduction from better fill-probability</t>
  </si>
  <si>
    <t>Adjusted for adoption</t>
  </si>
  <si>
    <t>Channel 1 Benefit ($B)</t>
  </si>
  <si>
    <t>CHANNEL 2: MACRO-CONDITIONAL SCENARIO ANALYSIS</t>
  </si>
  <si>
    <t>~60% of $5T total [12]</t>
  </si>
  <si>
    <t>Macro-tactical share of active AUM</t>
  </si>
  <si>
    <t>60% have macro component</t>
  </si>
  <si>
    <t>Annual repositioning rate</t>
  </si>
  <si>
    <t>4 quarters × 5%</t>
  </si>
  <si>
    <t>Scenario prediction drag</t>
  </si>
  <si>
    <t>Bond-level selection errors</t>
  </si>
  <si>
    <t>Deep MM improvement rate</t>
  </si>
  <si>
    <t>Conservative (below 43% spot)</t>
  </si>
  <si>
    <t>Stress-test precision savings ($B)</t>
  </si>
  <si>
    <t>Tail risk quantification value</t>
  </si>
  <si>
    <t>Macro-tactical AUM ($T)</t>
  </si>
  <si>
    <t>Annual repositioning volume ($B)</t>
  </si>
  <si>
    <t>Scenario drag savings ($B)</t>
  </si>
  <si>
    <t>Plus stress-test savings ($B)</t>
  </si>
  <si>
    <t>Channel 2 Benefit ($B)</t>
  </si>
  <si>
    <t>CHANNEL 3: JOINT SYNERGY</t>
  </si>
  <si>
    <t>Joint synergy benefit ($B)</t>
  </si>
  <si>
    <t>Execution-aware repos. + forward-looking liquidity + multi-period sequencing</t>
  </si>
  <si>
    <t>Channel 3 Benefit ($B)</t>
  </si>
  <si>
    <t>TOTAL BUY-SIDE BENEFIT: Portfolio Optimization ($B)</t>
  </si>
  <si>
    <t>Ch1: Liquidity-aware execution — choosing executable trades over illiquid alternatives.</t>
  </si>
  <si>
    <t>Ch2: Macro-conditional scenario — bond-level prediction within macro views + stress-test precision.</t>
  </si>
  <si>
    <t>Ch3: Joint synergy — simultaneous optimization over execution feasibility and scenario returns.</t>
  </si>
  <si>
    <t>Distinct from Section 1 (execution on existing trades) and Section 5 (suppressed volume).</t>
  </si>
  <si>
    <t>BS8: Regulatory &amp; Compliance Burdens</t>
  </si>
  <si>
    <t>Industry Compliance Costs ($B)</t>
  </si>
  <si>
    <t>Corporate bond share of compliance</t>
  </si>
  <si>
    <t>6-8% of total</t>
  </si>
  <si>
    <t>Pricing/valuation share of CB compliance</t>
  </si>
  <si>
    <t>20-30% [16, 17]</t>
  </si>
  <si>
    <t>95th pctl relative improvement</t>
  </si>
  <si>
    <t>Wtd ~42% [30]</t>
  </si>
  <si>
    <t>Convexity adjustment</t>
  </si>
  <si>
    <t>Large errors disproportionate</t>
  </si>
  <si>
    <t>CB compliance costs ($B)</t>
  </si>
  <si>
    <t>Pricing-related compliance ($B)</t>
  </si>
  <si>
    <t>Base savings ($B)</t>
  </si>
  <si>
    <t>Convexity-adjusted ($B)</t>
  </si>
  <si>
    <t>BUY-SIDE BENEFIT: Regulatory &amp; Compliance</t>
  </si>
  <si>
    <t>95th percentile used: compliance triggered by large tail errors.</t>
  </si>
  <si>
    <t>Convexity: errors above materiality threshold trigger disproportionate costs.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</si>
</sst>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\$#,##0.0\B"/>
    <numFmt numFmtId="165" formatCode="#,##0.0"/>
    <numFmt numFmtId="166" formatCode="0.0%"/>
    <numFmt numFmtId="167" formatCode="0.0000"/>
    <numFmt numFmtId="168" formatCode="0.000000%"/>
    <numFmt numFmtId="169" formatCode="\$#,##0\M"/>
    <numFmt numFmtId="170" formatCode="0.0"/>
    <numFmt numFmtId="171" formatCode="0.0\x"/>
    <numFmt numFmtId="172" formatCode="0.000"/>
  </numFmts>
  <fonts count="13">
    <font>
      <sz val="11"/>
      <color rgb="FF000000"/>
      <name val="Calibri"/>
      <family val="2"/>
      <charset val="1"/>
    </font>
    <font>
      <b/>
      <sz val="14"/>
      <color rgb="FF000000"/>
      <name val="Arial"/>
      <charset val="1"/>
    </font>
    <font>
      <i/>
      <sz val="10"/>
      <color rgb="FF666666"/>
      <name val="Arial"/>
      <charset val="1"/>
    </font>
    <font>
      <b/>
      <sz val="11"/>
      <color rgb="FFFFFFFF"/>
      <name val="Arial"/>
      <charset val="1"/>
    </font>
    <font>
      <sz val="11"/>
      <color rgb="FF000000"/>
      <name val="Arial"/>
      <charset val="1"/>
    </font>
    <font>
      <b/>
      <sz val="11"/>
      <color rgb="FF000000"/>
      <name val="Arial"/>
      <charset val="1"/>
    </font>
    <font>
      <sz val="11"/>
      <color rgb="FF008000"/>
      <name val="Arial"/>
      <charset val="1"/>
    </font>
    <font>
      <sz val="11"/>
      <name val="Cambria"/>
      <charset val="1"/>
    </font>
    <font>
      <sz val="11"/>
      <color rgb="FF0000FF"/>
      <name val="Arial"/>
      <charset val="1"/>
    </font>
    <font>
      <b/>
      <sz val="12"/>
      <color rgb="FF000000"/>
      <name val="Arial"/>
      <charset val="1"/>
    </font>
    <font>
      <sz val="11"/>
      <color rgb="FF0000FF"/>
      <name val="Cambria"/>
      <charset val="1"/>
    </font>
    <font>
      <b/>
      <sz val="11"/>
      <name val="Cambria"/>
      <charset val="1"/>
    </font>
    <font>
      <b/>
      <sz val="12"/>
      <name val="Cambria"/>
      <charset val="1"/>
    </font>
  </fonts>
  <fills count="10">
    <fill>
      <patternFill patternType="none"/>
    </fill>
    <fill>
      <patternFill patternType="gray125"/>
    </fill>
    <fill>
      <patternFill patternType="solid">
        <fgColor rgb="FF1A5276"/>
        <bgColor rgb="FF34495E"/>
      </patternFill>
    </fill>
    <fill>
      <patternFill patternType="solid">
        <fgColor rgb="FFD6EAF8"/>
        <bgColor rgb="FFE2EFDA"/>
      </patternFill>
    </fill>
    <fill>
      <patternFill patternType="solid">
        <fgColor rgb="FFAED6F1"/>
        <bgColor rgb="FFCCCCFF"/>
      </patternFill>
    </fill>
    <fill>
      <patternFill patternType="solid">
        <fgColor rgb="FF2C3E50"/>
        <bgColor rgb="FF34495E"/>
      </patternFill>
    </fill>
    <fill>
      <patternFill patternType="solid">
        <fgColor rgb="FF34495E"/>
        <bgColor rgb="FF2C3E50"/>
      </patternFill>
    </fill>
    <fill>
      <patternFill patternType="solid">
        <fgColor rgb="FFFFFF00"/>
        <bgColor rgb="FFFFFF00"/>
      </patternFill>
    </fill>
    <fill>
      <patternFill patternType="solid">
        <fgColor rgb="FFE2EFDA"/>
        <bgColor rgb="FFD6EAF8"/>
      </patternFill>
    </fill>
    <fill>
      <patternFill patternType="solid">
        <fgColor rgb="FFFFF2CC"/>
        <bgColor rgb="FFE2EFDA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5" fillId="0" borderId="1" xfId="0" applyFont="1" applyBorder="1"/>
    <xf numFmtId="0" fontId="4" fillId="0" borderId="1" xfId="0" applyFont="1" applyBorder="1" applyAlignment="1">
      <alignment wrapText="1"/>
    </xf>
    <xf numFmtId="164" fontId="6" fillId="0" borderId="1" xfId="0" applyNumberFormat="1" applyFont="1" applyBorder="1"/>
    <xf numFmtId="0" fontId="5" fillId="3" borderId="1" xfId="0" applyFont="1" applyFill="1" applyBorder="1"/>
    <xf numFmtId="164" fontId="5" fillId="3" borderId="1" xfId="0" applyNumberFormat="1" applyFont="1" applyFill="1" applyBorder="1"/>
    <xf numFmtId="0" fontId="5" fillId="4" borderId="1" xfId="0" applyFont="1" applyFill="1" applyBorder="1"/>
    <xf numFmtId="164" fontId="5" fillId="4" borderId="1" xfId="0" applyNumberFormat="1" applyFont="1" applyFill="1" applyBorder="1"/>
    <xf numFmtId="0" fontId="3" fillId="5" borderId="1" xfId="0" applyFont="1" applyFill="1" applyBorder="1" applyAlignment="1">
      <alignment horizontal="center" wrapText="1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/>
    <xf numFmtId="165" fontId="8" fillId="0" borderId="0" xfId="0" applyNumberFormat="1" applyFont="1"/>
    <xf numFmtId="165" fontId="4" fillId="0" borderId="0" xfId="0" applyNumberFormat="1" applyFont="1"/>
    <xf numFmtId="2" fontId="8" fillId="0" borderId="0" xfId="0" applyNumberFormat="1" applyFont="1"/>
    <xf numFmtId="2" fontId="4" fillId="0" borderId="0" xfId="0" applyNumberFormat="1" applyFont="1"/>
    <xf numFmtId="3" fontId="8" fillId="0" borderId="0" xfId="0" applyNumberFormat="1" applyFont="1"/>
    <xf numFmtId="166" fontId="8" fillId="0" borderId="0" xfId="0" applyNumberFormat="1" applyFont="1"/>
    <xf numFmtId="167" fontId="8" fillId="0" borderId="0" xfId="0" applyNumberFormat="1" applyFont="1"/>
    <xf numFmtId="3" fontId="4" fillId="0" borderId="0" xfId="0" applyNumberFormat="1" applyFont="1"/>
    <xf numFmtId="0" fontId="5" fillId="0" borderId="0" xfId="0" applyFont="1"/>
    <xf numFmtId="167" fontId="5" fillId="0" borderId="0" xfId="0" applyNumberFormat="1" applyFont="1"/>
    <xf numFmtId="168" fontId="4" fillId="0" borderId="0" xfId="0" applyNumberFormat="1" applyFont="1"/>
    <xf numFmtId="168" fontId="5" fillId="0" borderId="0" xfId="0" applyNumberFormat="1" applyFont="1"/>
    <xf numFmtId="166" fontId="4" fillId="0" borderId="0" xfId="0" applyNumberFormat="1" applyFont="1"/>
    <xf numFmtId="0" fontId="3" fillId="6" borderId="1" xfId="0" applyFont="1" applyFill="1" applyBorder="1"/>
    <xf numFmtId="167" fontId="6" fillId="0" borderId="1" xfId="0" applyNumberFormat="1" applyFont="1" applyBorder="1"/>
    <xf numFmtId="0" fontId="2" fillId="0" borderId="1" xfId="0" applyFont="1" applyBorder="1"/>
    <xf numFmtId="167" fontId="4" fillId="0" borderId="1" xfId="0" applyNumberFormat="1" applyFont="1" applyBorder="1"/>
    <xf numFmtId="0" fontId="9" fillId="0" borderId="0" xfId="0" applyFont="1"/>
    <xf numFmtId="166" fontId="6" fillId="0" borderId="1" xfId="0" applyNumberFormat="1" applyFont="1" applyBorder="1"/>
    <xf numFmtId="164" fontId="6" fillId="0" borderId="0" xfId="0" applyNumberFormat="1" applyFont="1"/>
    <xf numFmtId="9" fontId="8" fillId="7" borderId="0" xfId="0" applyNumberFormat="1" applyFont="1" applyFill="1"/>
    <xf numFmtId="169" fontId="5" fillId="3" borderId="0" xfId="0" applyNumberFormat="1" applyFont="1" applyFill="1"/>
    <xf numFmtId="169" fontId="10" fillId="7" borderId="0" xfId="0" applyNumberFormat="1" applyFont="1" applyFill="1"/>
    <xf numFmtId="169" fontId="8" fillId="7" borderId="0" xfId="0" applyNumberFormat="1" applyFont="1" applyFill="1"/>
    <xf numFmtId="169" fontId="5" fillId="0" borderId="0" xfId="0" applyNumberFormat="1" applyFont="1"/>
    <xf numFmtId="0" fontId="5" fillId="3" borderId="0" xfId="0" applyFont="1" applyFill="1"/>
    <xf numFmtId="165" fontId="6" fillId="0" borderId="0" xfId="0" applyNumberFormat="1" applyFont="1"/>
    <xf numFmtId="168" fontId="6" fillId="0" borderId="0" xfId="0" applyNumberFormat="1" applyFont="1"/>
    <xf numFmtId="170" fontId="8" fillId="7" borderId="0" xfId="0" applyNumberFormat="1" applyFont="1" applyFill="1"/>
    <xf numFmtId="164" fontId="4" fillId="0" borderId="0" xfId="0" applyNumberFormat="1" applyFont="1"/>
    <xf numFmtId="164" fontId="5" fillId="3" borderId="0" xfId="0" applyNumberFormat="1" applyFont="1" applyFill="1"/>
    <xf numFmtId="166" fontId="8" fillId="7" borderId="0" xfId="0" applyNumberFormat="1" applyFont="1" applyFill="1"/>
    <xf numFmtId="171" fontId="8" fillId="7" borderId="0" xfId="0" applyNumberFormat="1" applyFont="1" applyFill="1"/>
    <xf numFmtId="3" fontId="6" fillId="0" borderId="0" xfId="0" applyNumberFormat="1" applyFont="1"/>
    <xf numFmtId="166" fontId="6" fillId="0" borderId="0" xfId="0" applyNumberFormat="1" applyFont="1"/>
    <xf numFmtId="166" fontId="10" fillId="7" borderId="0" xfId="0" applyNumberFormat="1" applyFont="1" applyFill="1"/>
    <xf numFmtId="164" fontId="11" fillId="3" borderId="0" xfId="0" applyNumberFormat="1" applyFont="1" applyFill="1"/>
    <xf numFmtId="170" fontId="6" fillId="0" borderId="0" xfId="0" applyNumberFormat="1" applyFont="1"/>
    <xf numFmtId="0" fontId="11" fillId="0" borderId="0" xfId="0" applyFont="1"/>
    <xf numFmtId="166" fontId="10" fillId="0" borderId="0" xfId="0" applyNumberFormat="1" applyFont="1"/>
    <xf numFmtId="172" fontId="0" fillId="0" borderId="0" xfId="0" applyNumberFormat="1"/>
    <xf numFmtId="172" fontId="4" fillId="0" borderId="0" xfId="0" applyNumberFormat="1" applyFont="1"/>
    <xf numFmtId="172" fontId="11" fillId="0" borderId="0" xfId="0" applyNumberFormat="1" applyFont="1"/>
    <xf numFmtId="3" fontId="8" fillId="7" borderId="0" xfId="0" applyNumberFormat="1" applyFont="1" applyFill="1"/>
    <xf numFmtId="170" fontId="4" fillId="0" borderId="0" xfId="0" applyNumberFormat="1" applyFont="1"/>
    <xf numFmtId="0" fontId="10" fillId="0" borderId="0" xfId="0" applyFont="1"/>
    <xf numFmtId="0" fontId="11" fillId="3" borderId="0" xfId="0" applyFont="1" applyFill="1"/>
    <xf numFmtId="0" fontId="11" fillId="8" borderId="0" xfId="0" applyFont="1" applyFill="1"/>
    <xf numFmtId="0" fontId="0" fillId="8" borderId="0" xfId="0" applyFill="1"/>
    <xf numFmtId="165" fontId="6" fillId="8" borderId="0" xfId="0" applyNumberFormat="1" applyFont="1" applyFill="1"/>
    <xf numFmtId="0" fontId="4" fillId="8" borderId="0" xfId="0" applyFont="1" applyFill="1"/>
    <xf numFmtId="0" fontId="2" fillId="8" borderId="0" xfId="0" applyFont="1" applyFill="1"/>
    <xf numFmtId="166" fontId="11" fillId="7" borderId="0" xfId="0" applyNumberFormat="1" applyFont="1" applyFill="1"/>
    <xf numFmtId="172" fontId="5" fillId="3" borderId="0" xfId="0" applyNumberFormat="1" applyFont="1" applyFill="1"/>
    <xf numFmtId="165" fontId="0" fillId="0" borderId="0" xfId="0" applyNumberFormat="1"/>
    <xf numFmtId="0" fontId="11" fillId="9" borderId="0" xfId="0" applyFont="1" applyFill="1"/>
    <xf numFmtId="0" fontId="0" fillId="9" borderId="0" xfId="0" applyFill="1"/>
    <xf numFmtId="172" fontId="11" fillId="9" borderId="0" xfId="0" applyNumberFormat="1" applyFont="1" applyFill="1"/>
    <xf numFmtId="0" fontId="1" fillId="0" borderId="0" xfId="0" applyFont="1" applyAlignment="1"/>
    <xf numFmtId="0" fontId="1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2CC"/>
      <rgbColor rgb="FFD6EAF8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AED6F1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1A5276"/>
      <rgbColor rgb="FF339966"/>
      <rgbColor rgb="FF003300"/>
      <rgbColor rgb="FF333300"/>
      <rgbColor rgb="FF993300"/>
      <rgbColor rgb="FF993366"/>
      <rgbColor rgb="FF34495E"/>
      <rgbColor rgb="FF2C3E5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zoomScaleNormal="100" workbookViewId="0">
      <selection activeCell="B7" sqref="B7"/>
    </sheetView>
  </sheetViews>
  <sheetFormatPr defaultColWidth="8.7109375" defaultRowHeight="15"/>
  <cols>
    <col min="1" max="1" width="8" customWidth="1"/>
    <col min="2" max="2" width="40" customWidth="1"/>
    <col min="3" max="3" width="45" customWidth="1"/>
    <col min="4" max="4" width="20" customWidth="1"/>
    <col min="5" max="5" width="18" customWidth="1"/>
    <col min="6" max="7" width="22" customWidth="1"/>
  </cols>
  <sheetData>
    <row r="1" spans="1:7" ht="17.25" customHeight="1">
      <c r="A1" s="73" t="s">
        <v>0</v>
      </c>
      <c r="B1" s="73"/>
      <c r="C1" s="73"/>
      <c r="D1" s="73"/>
      <c r="E1" s="73"/>
      <c r="F1" s="73"/>
      <c r="G1" s="73"/>
    </row>
    <row r="2" spans="1:7" ht="15" customHeight="1">
      <c r="A2" s="1" t="s">
        <v>1</v>
      </c>
    </row>
    <row r="4" spans="1:7" ht="1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15" customHeight="1">
      <c r="A5" s="3">
        <v>1</v>
      </c>
      <c r="B5" s="4" t="s">
        <v>9</v>
      </c>
      <c r="C5" s="5" t="s">
        <v>10</v>
      </c>
      <c r="D5" s="3" t="s">
        <v>11</v>
      </c>
      <c r="E5" s="6">
        <f>'BS1-Trading Losses'!C16</f>
        <v>4.4617072499999999</v>
      </c>
      <c r="F5" s="6">
        <f>'BS1-Trading Losses'!C16*Assumptions!C57/Assumptions!C43</f>
        <v>6.0896881499999989</v>
      </c>
      <c r="G5" s="6">
        <f>'BS1-Trading Losses'!C16*Assumptions!C66/Assumptions!C43</f>
        <v>12.73519065</v>
      </c>
    </row>
    <row r="6" spans="1:7" ht="15" customHeight="1">
      <c r="A6" s="3">
        <v>2</v>
      </c>
      <c r="B6" s="4" t="s">
        <v>12</v>
      </c>
      <c r="C6" s="5" t="s">
        <v>13</v>
      </c>
      <c r="D6" s="3" t="s">
        <v>14</v>
      </c>
      <c r="E6" s="6">
        <f>'BS2-Hedging Costs'!C16</f>
        <v>1.4310266500000002</v>
      </c>
      <c r="F6" s="6">
        <f>'BS2-Hedging Costs'!C16*Assumptions!C57/Assumptions!C43</f>
        <v>1.9531774597804905</v>
      </c>
      <c r="G6" s="6">
        <f>'BS2-Hedging Costs'!C16*Assumptions!C66/Assumptions!C43</f>
        <v>4.0846241565895713</v>
      </c>
    </row>
    <row r="7" spans="1:7" ht="15" customHeight="1">
      <c r="A7" s="3">
        <v>3</v>
      </c>
      <c r="B7" s="4" t="s">
        <v>15</v>
      </c>
      <c r="C7" s="5" t="s">
        <v>16</v>
      </c>
      <c r="D7" s="3" t="s">
        <v>11</v>
      </c>
      <c r="E7" s="6">
        <f>'BS3-Alpha Generation'!C15</f>
        <v>0.97278506271379706</v>
      </c>
      <c r="F7" s="6">
        <f>'BS3-Alpha Generation'!C15*Assumptions!C57/Assumptions!C43</f>
        <v>1.3277333847722115</v>
      </c>
      <c r="G7" s="6">
        <f>'BS3-Alpha Generation'!C15*Assumptions!C66/Assumptions!C43</f>
        <v>2.7766508515619019</v>
      </c>
    </row>
    <row r="8" spans="1:7" ht="15" customHeight="1">
      <c r="A8" s="3">
        <v>4</v>
      </c>
      <c r="B8" s="4" t="s">
        <v>17</v>
      </c>
      <c r="C8" s="5" t="s">
        <v>18</v>
      </c>
      <c r="D8" s="3" t="s">
        <v>11</v>
      </c>
      <c r="E8" s="6">
        <f>'BS4-MtM Volatility'!C19</f>
        <v>1</v>
      </c>
      <c r="F8" s="6">
        <f>'BS4-MtM Volatility'!C19*Assumptions!C57/Assumptions!C43</f>
        <v>1.3648784666452509</v>
      </c>
      <c r="G8" s="6">
        <f>'BS4-MtM Volatility'!C19*Assumptions!C66/Assumptions!C43</f>
        <v>2.8543312988542668</v>
      </c>
    </row>
    <row r="9" spans="1:7" ht="15" customHeight="1">
      <c r="A9" s="3">
        <v>5</v>
      </c>
      <c r="B9" s="4" t="s">
        <v>19</v>
      </c>
      <c r="C9" s="5" t="s">
        <v>20</v>
      </c>
      <c r="D9" s="3" t="s">
        <v>14</v>
      </c>
      <c r="E9" s="6">
        <f>'BS5-Opportunity Costs'!C23</f>
        <v>1</v>
      </c>
      <c r="F9" s="6">
        <f>'BS5-Opportunity Costs'!C23*Assumptions!C57/Assumptions!C43</f>
        <v>1.3648784666452509</v>
      </c>
      <c r="G9" s="6">
        <f>'BS5-Opportunity Costs'!C23*Assumptions!C66/Assumptions!C43</f>
        <v>2.8543312988542668</v>
      </c>
    </row>
    <row r="10" spans="1:7" ht="15" customHeight="1">
      <c r="A10" s="3">
        <v>6</v>
      </c>
      <c r="B10" s="4" t="s">
        <v>21</v>
      </c>
      <c r="C10" s="5" t="s">
        <v>22</v>
      </c>
      <c r="D10" s="3" t="s">
        <v>11</v>
      </c>
      <c r="E10" s="6">
        <f>'BS6-Perf Attribution'!C10</f>
        <v>0.51180750000000008</v>
      </c>
      <c r="F10" s="6">
        <f>'BS6-Perf Attribution'!C10*Assumptions!C57/Assumptions!C43</f>
        <v>0.69855503581753942</v>
      </c>
      <c r="G10" s="6">
        <f>'BS6-Perf Attribution'!C10*Assumptions!C66/Assumptions!C43</f>
        <v>1.4608681662383556</v>
      </c>
    </row>
    <row r="11" spans="1:7" ht="15" customHeight="1">
      <c r="A11" s="3">
        <v>7</v>
      </c>
      <c r="B11" s="4" t="s">
        <v>23</v>
      </c>
      <c r="C11" s="5" t="s">
        <v>24</v>
      </c>
      <c r="D11" s="3" t="s">
        <v>25</v>
      </c>
      <c r="E11" s="6">
        <f>'BS7-Portfolio Optim'!C41</f>
        <v>2.4961250000000001</v>
      </c>
      <c r="F11" s="6">
        <f>'BS7-Portfolio Optim'!C41*Assumptions!C57/Assumptions!C43</f>
        <v>3.4069072625548769</v>
      </c>
      <c r="G11" s="6">
        <f>'BS7-Portfolio Optim'!C41*Assumptions!C66/Assumptions!C43</f>
        <v>7.1247677133526084</v>
      </c>
    </row>
    <row r="12" spans="1:7" ht="15" customHeight="1">
      <c r="A12" s="3">
        <v>8</v>
      </c>
      <c r="B12" s="4" t="s">
        <v>26</v>
      </c>
      <c r="C12" s="5" t="s">
        <v>27</v>
      </c>
      <c r="D12" s="3" t="s">
        <v>28</v>
      </c>
      <c r="E12" s="6">
        <f>'BS8-Regulatory'!C16</f>
        <v>0.18191249999999998</v>
      </c>
      <c r="F12" s="6">
        <f>'BS8-Regulatory'!C16*Assumptions!C57/Assumptions!C43</f>
        <v>0.24828845406360417</v>
      </c>
      <c r="G12" s="6">
        <f>'BS8-Regulatory'!C16*Assumptions!C66/Assumptions!C43</f>
        <v>0.51923854240282674</v>
      </c>
    </row>
    <row r="13" spans="1:7" ht="15" customHeight="1">
      <c r="B13" s="7" t="s">
        <v>29</v>
      </c>
      <c r="E13" s="8">
        <f>SUM(E5:E12)</f>
        <v>12.055363962713795</v>
      </c>
      <c r="F13" s="8">
        <f>SUM(F5:F12)</f>
        <v>16.454106680279224</v>
      </c>
      <c r="G13" s="8">
        <f>SUM(G5:G12)</f>
        <v>34.410002677853797</v>
      </c>
    </row>
    <row r="15" spans="1:7" ht="15" customHeight="1">
      <c r="B15" s="9" t="s">
        <v>30</v>
      </c>
      <c r="E15" s="10">
        <f>E13+'Sell-Side Summary'!E10</f>
        <v>23.843128962713795</v>
      </c>
      <c r="F15" s="10">
        <f>F13+'Sell-Side Summary'!F10</f>
        <v>32.542973298653777</v>
      </c>
      <c r="G15" s="10">
        <f>G13+'Sell-Side Summary'!G10</f>
        <v>68.056189260892666</v>
      </c>
    </row>
  </sheetData>
  <mergeCells count="1">
    <mergeCell ref="A1:G1"/>
  </mergeCells>
  <pageMargins left="0.75" right="0.75" top="1" bottom="1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8"/>
  <sheetViews>
    <sheetView zoomScaleNormal="100" workbookViewId="0"/>
  </sheetViews>
  <sheetFormatPr defaultColWidth="8.7109375" defaultRowHeight="15"/>
  <cols>
    <col min="1" max="1" width="45" customWidth="1"/>
    <col min="2" max="2" width="4" customWidth="1"/>
    <col min="3" max="3" width="20" customWidth="1"/>
    <col min="4" max="4" width="16" customWidth="1"/>
    <col min="5" max="5" width="35" customWidth="1"/>
  </cols>
  <sheetData>
    <row r="1" spans="1:5" ht="17.25" customHeight="1">
      <c r="A1" s="73" t="s">
        <v>217</v>
      </c>
      <c r="B1" s="73"/>
      <c r="C1" s="73"/>
      <c r="D1" s="73"/>
      <c r="E1" s="73"/>
    </row>
    <row r="3" spans="1:5" ht="15" customHeight="1">
      <c r="A3" s="32" t="s">
        <v>175</v>
      </c>
      <c r="C3" s="23" t="s">
        <v>50</v>
      </c>
      <c r="D3" s="23" t="s">
        <v>51</v>
      </c>
      <c r="E3" s="23" t="s">
        <v>176</v>
      </c>
    </row>
    <row r="4" spans="1:5" ht="15" customHeight="1">
      <c r="A4" s="14" t="s">
        <v>177</v>
      </c>
      <c r="C4" s="41">
        <f>Assumptions!C6</f>
        <v>14.7</v>
      </c>
      <c r="D4" s="14" t="s">
        <v>54</v>
      </c>
      <c r="E4" s="1" t="s">
        <v>178</v>
      </c>
    </row>
    <row r="5" spans="1:5" ht="15" customHeight="1">
      <c r="A5" s="14" t="s">
        <v>218</v>
      </c>
      <c r="C5" s="52">
        <f>Assumptions!E41*10000</f>
        <v>20.6</v>
      </c>
      <c r="D5" s="14" t="s">
        <v>71</v>
      </c>
      <c r="E5" s="1" t="s">
        <v>178</v>
      </c>
    </row>
    <row r="6" spans="1:5" ht="15" customHeight="1">
      <c r="A6" s="14" t="s">
        <v>219</v>
      </c>
      <c r="C6" s="52">
        <f>Assumptions!E42*10000</f>
        <v>37.21</v>
      </c>
      <c r="D6" s="14" t="s">
        <v>71</v>
      </c>
      <c r="E6" s="1" t="s">
        <v>178</v>
      </c>
    </row>
    <row r="7" spans="1:5" ht="15" customHeight="1">
      <c r="A7" s="14" t="s">
        <v>220</v>
      </c>
      <c r="C7" s="43">
        <v>3</v>
      </c>
      <c r="D7" s="14" t="s">
        <v>71</v>
      </c>
      <c r="E7" s="1" t="s">
        <v>221</v>
      </c>
    </row>
    <row r="8" spans="1:5" ht="15" customHeight="1">
      <c r="A8" s="14" t="s">
        <v>222</v>
      </c>
      <c r="C8" s="46">
        <v>0.34</v>
      </c>
      <c r="D8" s="14"/>
      <c r="E8" s="1" t="s">
        <v>223</v>
      </c>
    </row>
    <row r="10" spans="1:5" ht="15" customHeight="1">
      <c r="A10" s="32" t="s">
        <v>181</v>
      </c>
    </row>
    <row r="11" spans="1:5" ht="15" customHeight="1">
      <c r="A11" s="14" t="s">
        <v>224</v>
      </c>
      <c r="C11" s="44">
        <f>C4*C7/10000*1000</f>
        <v>4.41</v>
      </c>
    </row>
    <row r="12" spans="1:5" ht="15" customHeight="1">
      <c r="A12" s="14" t="s">
        <v>225</v>
      </c>
      <c r="C12" s="44">
        <f>C11*C8</f>
        <v>1.4994000000000001</v>
      </c>
    </row>
    <row r="14" spans="1:5" ht="15" customHeight="1">
      <c r="A14" s="40" t="s">
        <v>226</v>
      </c>
      <c r="C14" s="45">
        <f>C12</f>
        <v>1.4994000000000001</v>
      </c>
    </row>
    <row r="16" spans="1:5" ht="15" customHeight="1">
      <c r="A16" s="32" t="s">
        <v>185</v>
      </c>
    </row>
    <row r="17" spans="1:1" ht="15" customHeight="1">
      <c r="A17" s="1" t="s">
        <v>227</v>
      </c>
    </row>
    <row r="18" spans="1:1" ht="15" customHeight="1">
      <c r="A18" s="1" t="s">
        <v>228</v>
      </c>
    </row>
  </sheetData>
  <mergeCells count="1">
    <mergeCell ref="A1:E1"/>
  </mergeCells>
  <pageMargins left="0.75" right="0.75" top="1" bottom="1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0"/>
  <sheetViews>
    <sheetView zoomScaleNormal="100" workbookViewId="0"/>
  </sheetViews>
  <sheetFormatPr defaultColWidth="8.7109375" defaultRowHeight="15"/>
  <cols>
    <col min="1" max="1" width="45" customWidth="1"/>
    <col min="2" max="2" width="4" customWidth="1"/>
    <col min="3" max="3" width="20" customWidth="1"/>
    <col min="4" max="4" width="16" customWidth="1"/>
    <col min="5" max="5" width="35" customWidth="1"/>
  </cols>
  <sheetData>
    <row r="1" spans="1:5" ht="17.25" customHeight="1">
      <c r="A1" s="73" t="s">
        <v>229</v>
      </c>
      <c r="B1" s="73"/>
      <c r="C1" s="73"/>
      <c r="D1" s="73"/>
      <c r="E1" s="73"/>
    </row>
    <row r="3" spans="1:5" ht="15" customHeight="1">
      <c r="A3" s="32" t="s">
        <v>175</v>
      </c>
      <c r="C3" s="23" t="s">
        <v>50</v>
      </c>
      <c r="D3" s="23" t="s">
        <v>51</v>
      </c>
      <c r="E3" s="23" t="s">
        <v>176</v>
      </c>
    </row>
    <row r="4" spans="1:5" ht="15" customHeight="1">
      <c r="A4" s="14" t="s">
        <v>230</v>
      </c>
      <c r="C4" s="41">
        <f>Assumptions!C9</f>
        <v>11.318999999999999</v>
      </c>
      <c r="D4" s="14" t="s">
        <v>54</v>
      </c>
      <c r="E4" s="1" t="s">
        <v>178</v>
      </c>
    </row>
    <row r="5" spans="1:5" ht="15" customHeight="1">
      <c r="A5" s="14" t="s">
        <v>231</v>
      </c>
      <c r="C5" s="41">
        <f>Assumptions!C10</f>
        <v>3.3809999999999998</v>
      </c>
      <c r="D5" s="14" t="s">
        <v>54</v>
      </c>
      <c r="E5" s="1" t="s">
        <v>178</v>
      </c>
    </row>
    <row r="6" spans="1:5" ht="15" customHeight="1">
      <c r="A6" s="14" t="s">
        <v>232</v>
      </c>
      <c r="C6" s="42">
        <f>Assumptions!C41</f>
        <v>3.8299999999999999E-4</v>
      </c>
      <c r="D6" s="14"/>
      <c r="E6" s="1" t="s">
        <v>178</v>
      </c>
    </row>
    <row r="7" spans="1:5" ht="15" customHeight="1">
      <c r="A7" s="14" t="s">
        <v>233</v>
      </c>
      <c r="C7" s="42">
        <f>Assumptions!C42</f>
        <v>7.4799999999999997E-4</v>
      </c>
      <c r="D7" s="14"/>
      <c r="E7" s="1" t="s">
        <v>178</v>
      </c>
    </row>
    <row r="8" spans="1:5" ht="15" customHeight="1">
      <c r="A8" s="14" t="s">
        <v>234</v>
      </c>
      <c r="C8" s="46">
        <v>0.65</v>
      </c>
      <c r="D8" s="14"/>
      <c r="E8" s="1" t="s">
        <v>235</v>
      </c>
    </row>
    <row r="10" spans="1:5" ht="15" customHeight="1">
      <c r="A10" s="32" t="s">
        <v>181</v>
      </c>
    </row>
    <row r="11" spans="1:5" ht="15" customHeight="1">
      <c r="A11" s="14" t="s">
        <v>236</v>
      </c>
      <c r="C11" s="44">
        <f>C4*C6*1000</f>
        <v>4.3351769999999989</v>
      </c>
    </row>
    <row r="12" spans="1:5" ht="15" customHeight="1">
      <c r="A12" s="14" t="s">
        <v>237</v>
      </c>
      <c r="C12" s="44">
        <f>C5*C7*1000</f>
        <v>2.528988</v>
      </c>
    </row>
    <row r="13" spans="1:5" ht="15" customHeight="1">
      <c r="A13" s="14" t="s">
        <v>238</v>
      </c>
      <c r="C13" s="44">
        <f>C11+C12</f>
        <v>6.864164999999999</v>
      </c>
    </row>
    <row r="14" spans="1:5" ht="15" customHeight="1">
      <c r="A14" s="14" t="s">
        <v>239</v>
      </c>
      <c r="C14" s="44">
        <f>C13*C8</f>
        <v>4.4617072499999999</v>
      </c>
    </row>
    <row r="16" spans="1:5" ht="15" customHeight="1">
      <c r="A16" s="40" t="s">
        <v>240</v>
      </c>
      <c r="C16" s="45">
        <f>C14</f>
        <v>4.4617072499999999</v>
      </c>
    </row>
    <row r="18" spans="1:1" ht="15" customHeight="1">
      <c r="A18" s="32" t="s">
        <v>185</v>
      </c>
    </row>
    <row r="19" spans="1:1" ht="15" customHeight="1">
      <c r="A19" s="1" t="s">
        <v>241</v>
      </c>
    </row>
    <row r="20" spans="1:1" ht="15" customHeight="1">
      <c r="A20" s="1" t="s">
        <v>242</v>
      </c>
    </row>
  </sheetData>
  <mergeCells count="1">
    <mergeCell ref="A1:E1"/>
  </mergeCells>
  <pageMargins left="0.75" right="0.75" top="1" bottom="1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1"/>
  <sheetViews>
    <sheetView zoomScaleNormal="100" workbookViewId="0"/>
  </sheetViews>
  <sheetFormatPr defaultColWidth="8.7109375" defaultRowHeight="15"/>
  <cols>
    <col min="1" max="1" width="44" customWidth="1"/>
    <col min="2" max="2" width="4" customWidth="1"/>
    <col min="3" max="3" width="14" customWidth="1"/>
    <col min="4" max="4" width="10" customWidth="1"/>
    <col min="5" max="5" width="55" customWidth="1"/>
  </cols>
  <sheetData>
    <row r="1" spans="1:5" ht="17.25" customHeight="1">
      <c r="A1" s="74" t="s">
        <v>243</v>
      </c>
      <c r="B1" s="74"/>
      <c r="C1" s="74"/>
      <c r="D1" s="74"/>
      <c r="E1" s="74"/>
    </row>
    <row r="3" spans="1:5" ht="15" customHeight="1">
      <c r="A3" s="53" t="s">
        <v>175</v>
      </c>
      <c r="C3" s="53" t="s">
        <v>50</v>
      </c>
      <c r="D3" s="53" t="s">
        <v>51</v>
      </c>
      <c r="E3" s="53" t="s">
        <v>176</v>
      </c>
    </row>
    <row r="4" spans="1:5" ht="15" customHeight="1">
      <c r="A4" s="14" t="s">
        <v>244</v>
      </c>
      <c r="C4" s="48">
        <f>Assumptions!C15</f>
        <v>9.5449999999999999</v>
      </c>
      <c r="D4" s="14" t="s">
        <v>54</v>
      </c>
      <c r="E4" s="1" t="s">
        <v>178</v>
      </c>
    </row>
    <row r="5" spans="1:5" ht="15" customHeight="1">
      <c r="A5" s="14" t="s">
        <v>245</v>
      </c>
      <c r="C5" s="46">
        <f>Assumptions!C16</f>
        <v>1.9550000000000005</v>
      </c>
      <c r="D5" s="14" t="s">
        <v>54</v>
      </c>
      <c r="E5" s="1" t="s">
        <v>178</v>
      </c>
    </row>
    <row r="6" spans="1:5" ht="15" customHeight="1">
      <c r="A6" s="14" t="s">
        <v>246</v>
      </c>
      <c r="C6" s="46">
        <f>Assumptions!D41</f>
        <v>7.9100000000000004E-4</v>
      </c>
      <c r="D6" s="14"/>
      <c r="E6" t="s">
        <v>178</v>
      </c>
    </row>
    <row r="7" spans="1:5" ht="15" customHeight="1">
      <c r="A7" s="14" t="s">
        <v>247</v>
      </c>
      <c r="C7" s="49">
        <f>Assumptions!D42</f>
        <v>1.4809999999999999E-3</v>
      </c>
      <c r="D7" s="14"/>
      <c r="E7" s="1" t="s">
        <v>178</v>
      </c>
    </row>
    <row r="8" spans="1:5" ht="15" customHeight="1">
      <c r="A8" s="14" t="s">
        <v>248</v>
      </c>
      <c r="C8" s="54">
        <v>0.13700000000000001</v>
      </c>
      <c r="D8" s="14"/>
      <c r="E8" s="1" t="s">
        <v>249</v>
      </c>
    </row>
    <row r="9" spans="1:5" ht="15" customHeight="1">
      <c r="A9" s="14"/>
      <c r="C9" s="49"/>
      <c r="D9" s="14"/>
    </row>
    <row r="10" spans="1:5">
      <c r="A10" s="53" t="s">
        <v>181</v>
      </c>
    </row>
    <row r="11" spans="1:5" ht="15" customHeight="1">
      <c r="A11" s="32" t="s">
        <v>250</v>
      </c>
      <c r="C11" s="55">
        <f>C4*C6*1000</f>
        <v>7.5500950000000007</v>
      </c>
    </row>
    <row r="12" spans="1:5" ht="15" customHeight="1">
      <c r="A12" s="14" t="s">
        <v>251</v>
      </c>
      <c r="C12" s="56">
        <f>C5*C7*1000</f>
        <v>2.8953550000000003</v>
      </c>
    </row>
    <row r="13" spans="1:5" ht="15" customHeight="1">
      <c r="A13" s="14" t="s">
        <v>252</v>
      </c>
      <c r="C13" s="56">
        <f>C11+C12</f>
        <v>10.445450000000001</v>
      </c>
    </row>
    <row r="14" spans="1:5" ht="15" customHeight="1">
      <c r="A14" s="14" t="s">
        <v>253</v>
      </c>
      <c r="C14" s="56">
        <f>C13*C8</f>
        <v>1.4310266500000002</v>
      </c>
    </row>
    <row r="15" spans="1:5" ht="15" customHeight="1">
      <c r="A15" s="14"/>
      <c r="C15" s="44"/>
    </row>
    <row r="16" spans="1:5">
      <c r="A16" s="53" t="s">
        <v>254</v>
      </c>
      <c r="C16" s="57">
        <f>C14</f>
        <v>1.4310266500000002</v>
      </c>
    </row>
    <row r="17" spans="1:3" ht="15" customHeight="1">
      <c r="A17" s="40"/>
      <c r="C17" s="45"/>
    </row>
    <row r="18" spans="1:3">
      <c r="A18" s="53" t="s">
        <v>185</v>
      </c>
    </row>
    <row r="19" spans="1:3" ht="15" customHeight="1">
      <c r="A19" s="32" t="s">
        <v>255</v>
      </c>
    </row>
    <row r="20" spans="1:3" ht="15" customHeight="1">
      <c r="A20" s="1" t="s">
        <v>256</v>
      </c>
    </row>
    <row r="21" spans="1:3" ht="15" customHeight="1">
      <c r="A21" s="1" t="s">
        <v>257</v>
      </c>
    </row>
  </sheetData>
  <mergeCells count="1">
    <mergeCell ref="A1:E1"/>
  </mergeCells>
  <pageMargins left="0.75" right="0.75" top="1" bottom="1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9"/>
  <sheetViews>
    <sheetView zoomScaleNormal="100" workbookViewId="0"/>
  </sheetViews>
  <sheetFormatPr defaultColWidth="8.7109375" defaultRowHeight="15"/>
  <cols>
    <col min="1" max="1" width="45" customWidth="1"/>
    <col min="2" max="2" width="4" customWidth="1"/>
    <col min="3" max="3" width="20" customWidth="1"/>
    <col min="4" max="4" width="16" customWidth="1"/>
    <col min="5" max="5" width="35" customWidth="1"/>
  </cols>
  <sheetData>
    <row r="1" spans="1:5" ht="17.25" customHeight="1">
      <c r="A1" s="73" t="s">
        <v>258</v>
      </c>
      <c r="B1" s="73"/>
      <c r="C1" s="73"/>
      <c r="D1" s="73"/>
      <c r="E1" s="73"/>
    </row>
    <row r="3" spans="1:5" ht="15" customHeight="1">
      <c r="A3" s="32" t="s">
        <v>175</v>
      </c>
      <c r="C3" s="23" t="s">
        <v>50</v>
      </c>
      <c r="D3" s="23" t="s">
        <v>51</v>
      </c>
      <c r="E3" s="23" t="s">
        <v>176</v>
      </c>
    </row>
    <row r="4" spans="1:5" ht="15" customHeight="1">
      <c r="A4" s="14" t="s">
        <v>259</v>
      </c>
      <c r="C4" s="41">
        <f>Assumptions!C22</f>
        <v>3</v>
      </c>
      <c r="D4" s="14" t="s">
        <v>54</v>
      </c>
      <c r="E4" s="1" t="s">
        <v>178</v>
      </c>
    </row>
    <row r="5" spans="1:5" ht="15" customHeight="1">
      <c r="A5" s="14" t="s">
        <v>260</v>
      </c>
      <c r="C5" s="49">
        <f>Assumptions!C46</f>
        <v>0.43671607753705816</v>
      </c>
      <c r="D5" s="14"/>
      <c r="E5" s="1" t="s">
        <v>261</v>
      </c>
    </row>
    <row r="6" spans="1:5" ht="15" customHeight="1">
      <c r="A6" s="14" t="s">
        <v>262</v>
      </c>
      <c r="C6" s="46">
        <v>0.5</v>
      </c>
      <c r="D6" s="14"/>
      <c r="E6" s="1" t="s">
        <v>263</v>
      </c>
    </row>
    <row r="7" spans="1:5" ht="15" customHeight="1">
      <c r="A7" s="14" t="s">
        <v>264</v>
      </c>
      <c r="C7" s="58">
        <v>45</v>
      </c>
      <c r="D7" s="14" t="s">
        <v>71</v>
      </c>
      <c r="E7" s="1" t="s">
        <v>265</v>
      </c>
    </row>
    <row r="8" spans="1:5" ht="15" customHeight="1">
      <c r="A8" s="14" t="s">
        <v>266</v>
      </c>
      <c r="C8" s="59">
        <f>C7*C5*C6</f>
        <v>9.8261117445838089</v>
      </c>
      <c r="D8" s="14" t="s">
        <v>71</v>
      </c>
    </row>
    <row r="9" spans="1:5" ht="15" customHeight="1">
      <c r="A9" s="14" t="s">
        <v>267</v>
      </c>
      <c r="C9" s="46">
        <v>0.33</v>
      </c>
      <c r="D9" s="14"/>
      <c r="E9" s="1" t="s">
        <v>268</v>
      </c>
    </row>
    <row r="11" spans="1:5" ht="15" customHeight="1">
      <c r="A11" s="32" t="s">
        <v>181</v>
      </c>
    </row>
    <row r="12" spans="1:5" ht="15" customHeight="1">
      <c r="A12" s="14" t="s">
        <v>269</v>
      </c>
      <c r="C12" s="44">
        <f>C4*C8/10000*1000</f>
        <v>2.9478335233751425</v>
      </c>
    </row>
    <row r="13" spans="1:5" ht="15" customHeight="1">
      <c r="A13" s="14" t="s">
        <v>270</v>
      </c>
      <c r="C13" s="44">
        <f>C12*C9</f>
        <v>0.97278506271379706</v>
      </c>
    </row>
    <row r="15" spans="1:5" ht="15" customHeight="1">
      <c r="A15" s="40" t="s">
        <v>271</v>
      </c>
      <c r="C15" s="45">
        <f>C13</f>
        <v>0.97278506271379706</v>
      </c>
    </row>
    <row r="17" spans="1:1" ht="15" customHeight="1">
      <c r="A17" s="32" t="s">
        <v>185</v>
      </c>
    </row>
    <row r="18" spans="1:1" ht="15" customHeight="1">
      <c r="A18" s="1" t="s">
        <v>272</v>
      </c>
    </row>
    <row r="19" spans="1:1" ht="15" customHeight="1">
      <c r="A19" s="1" t="s">
        <v>273</v>
      </c>
    </row>
  </sheetData>
  <mergeCells count="1">
    <mergeCell ref="A1:E1"/>
  </mergeCells>
  <pageMargins left="0.75" right="0.75" top="1" bottom="1" header="0.511811023622047" footer="0.511811023622047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23"/>
  <sheetViews>
    <sheetView zoomScaleNormal="100" workbookViewId="0"/>
  </sheetViews>
  <sheetFormatPr defaultColWidth="8.7109375" defaultRowHeight="15"/>
  <cols>
    <col min="1" max="1" width="45" customWidth="1"/>
    <col min="2" max="2" width="4" customWidth="1"/>
    <col min="3" max="3" width="20" customWidth="1"/>
    <col min="4" max="4" width="16" customWidth="1"/>
    <col min="5" max="5" width="35" customWidth="1"/>
  </cols>
  <sheetData>
    <row r="1" spans="1:5" ht="17.25" customHeight="1">
      <c r="A1" s="73" t="s">
        <v>274</v>
      </c>
      <c r="B1" s="73"/>
      <c r="C1" s="73"/>
      <c r="D1" s="73"/>
      <c r="E1" s="73"/>
    </row>
    <row r="3" spans="1:5" ht="15" customHeight="1">
      <c r="A3" s="32" t="s">
        <v>175</v>
      </c>
      <c r="C3" s="23" t="s">
        <v>50</v>
      </c>
      <c r="D3" s="23" t="s">
        <v>51</v>
      </c>
      <c r="E3" s="23" t="s">
        <v>176</v>
      </c>
    </row>
    <row r="4" spans="1:5" ht="15" customHeight="1">
      <c r="A4" s="14" t="s">
        <v>244</v>
      </c>
      <c r="C4" s="41">
        <f>Assumptions!C15</f>
        <v>9.5449999999999999</v>
      </c>
      <c r="D4" s="14" t="s">
        <v>54</v>
      </c>
      <c r="E4" s="1" t="s">
        <v>178</v>
      </c>
    </row>
    <row r="5" spans="1:5" ht="15" customHeight="1">
      <c r="A5" s="14" t="s">
        <v>245</v>
      </c>
      <c r="C5" s="41">
        <f>Assumptions!C16</f>
        <v>1.9550000000000005</v>
      </c>
      <c r="D5" s="14" t="s">
        <v>54</v>
      </c>
      <c r="E5" s="1" t="s">
        <v>178</v>
      </c>
    </row>
    <row r="6" spans="1:5" ht="15" customHeight="1">
      <c r="A6" s="14" t="s">
        <v>232</v>
      </c>
      <c r="C6" s="42">
        <f>Assumptions!C41</f>
        <v>3.8299999999999999E-4</v>
      </c>
      <c r="D6" s="14"/>
      <c r="E6" s="1" t="s">
        <v>178</v>
      </c>
    </row>
    <row r="7" spans="1:5" ht="15" customHeight="1">
      <c r="A7" s="14" t="s">
        <v>233</v>
      </c>
      <c r="C7" s="42">
        <f>Assumptions!C42</f>
        <v>7.4799999999999997E-4</v>
      </c>
      <c r="D7" s="14"/>
      <c r="E7" s="1" t="s">
        <v>178</v>
      </c>
    </row>
    <row r="8" spans="1:5" ht="15" customHeight="1">
      <c r="A8" s="14" t="s">
        <v>275</v>
      </c>
      <c r="C8" s="58">
        <v>350</v>
      </c>
      <c r="D8" s="14" t="s">
        <v>276</v>
      </c>
      <c r="E8" s="1" t="s">
        <v>277</v>
      </c>
    </row>
    <row r="9" spans="1:5" ht="15" customHeight="1">
      <c r="A9" s="14" t="s">
        <v>278</v>
      </c>
      <c r="C9" s="58">
        <v>250</v>
      </c>
      <c r="D9" s="14" t="s">
        <v>276</v>
      </c>
      <c r="E9" s="1" t="s">
        <v>279</v>
      </c>
    </row>
    <row r="10" spans="1:5" ht="15" customHeight="1">
      <c r="A10" s="14" t="s">
        <v>280</v>
      </c>
      <c r="C10" s="58">
        <v>400</v>
      </c>
      <c r="D10" s="14" t="s">
        <v>276</v>
      </c>
      <c r="E10" s="1" t="s">
        <v>281</v>
      </c>
    </row>
    <row r="12" spans="1:5" ht="15" customHeight="1">
      <c r="A12" s="32" t="s">
        <v>181</v>
      </c>
    </row>
    <row r="13" spans="1:5" ht="15" customHeight="1">
      <c r="A13" s="14" t="s">
        <v>282</v>
      </c>
      <c r="C13" s="44">
        <f>C4*C6*1000</f>
        <v>3.655735</v>
      </c>
    </row>
    <row r="14" spans="1:5" ht="15" customHeight="1">
      <c r="A14" s="14" t="s">
        <v>283</v>
      </c>
      <c r="C14" s="44">
        <f>C5*C7*1000</f>
        <v>1.4623400000000004</v>
      </c>
    </row>
    <row r="15" spans="1:5" ht="15" customHeight="1">
      <c r="A15" s="14" t="s">
        <v>284</v>
      </c>
      <c r="C15" s="44">
        <f>C13+C14</f>
        <v>5.1180750000000002</v>
      </c>
    </row>
    <row r="16" spans="1:5" ht="15" customHeight="1">
      <c r="A16" s="14" t="s">
        <v>285</v>
      </c>
      <c r="C16" s="22">
        <f>C8+C9+C10</f>
        <v>1000</v>
      </c>
    </row>
    <row r="17" spans="1:3" ht="15" customHeight="1">
      <c r="A17" s="14" t="s">
        <v>286</v>
      </c>
      <c r="C17" s="44">
        <f>C16/1000</f>
        <v>1</v>
      </c>
    </row>
    <row r="19" spans="1:3" ht="15" customHeight="1">
      <c r="A19" s="40" t="s">
        <v>287</v>
      </c>
      <c r="C19" s="45">
        <f>C17</f>
        <v>1</v>
      </c>
    </row>
    <row r="21" spans="1:3" ht="15" customHeight="1">
      <c r="A21" s="32" t="s">
        <v>185</v>
      </c>
    </row>
    <row r="22" spans="1:3" ht="15" customHeight="1">
      <c r="A22" s="1" t="s">
        <v>288</v>
      </c>
    </row>
    <row r="23" spans="1:3" ht="15" customHeight="1">
      <c r="A23" s="1" t="s">
        <v>289</v>
      </c>
    </row>
  </sheetData>
  <mergeCells count="1">
    <mergeCell ref="A1:E1"/>
  </mergeCells>
  <pageMargins left="0.75" right="0.75" top="1" bottom="1" header="0.511811023622047" footer="0.511811023622047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27"/>
  <sheetViews>
    <sheetView zoomScaleNormal="100" workbookViewId="0"/>
  </sheetViews>
  <sheetFormatPr defaultColWidth="8.7109375" defaultRowHeight="15"/>
  <cols>
    <col min="1" max="1" width="45" customWidth="1"/>
    <col min="2" max="2" width="4" customWidth="1"/>
    <col min="3" max="3" width="20" customWidth="1"/>
    <col min="4" max="4" width="16" customWidth="1"/>
    <col min="5" max="5" width="35" customWidth="1"/>
  </cols>
  <sheetData>
    <row r="1" spans="1:5" ht="17.25" customHeight="1">
      <c r="A1" s="73" t="s">
        <v>290</v>
      </c>
      <c r="B1" s="73"/>
      <c r="C1" s="73"/>
      <c r="D1" s="73"/>
      <c r="E1" s="73"/>
    </row>
    <row r="3" spans="1:5" ht="15" customHeight="1">
      <c r="A3" s="32" t="s">
        <v>175</v>
      </c>
      <c r="C3" s="23" t="s">
        <v>50</v>
      </c>
      <c r="D3" s="23" t="s">
        <v>51</v>
      </c>
      <c r="E3" s="23" t="s">
        <v>176</v>
      </c>
    </row>
    <row r="4" spans="1:5" ht="15" customHeight="1">
      <c r="A4" s="14" t="s">
        <v>230</v>
      </c>
      <c r="C4" s="41">
        <f>Assumptions!C9</f>
        <v>11.318999999999999</v>
      </c>
      <c r="D4" s="14" t="s">
        <v>54</v>
      </c>
      <c r="E4" s="1" t="s">
        <v>178</v>
      </c>
    </row>
    <row r="5" spans="1:5" ht="15" customHeight="1">
      <c r="A5" s="14" t="s">
        <v>231</v>
      </c>
      <c r="C5" s="41">
        <f>Assumptions!C10</f>
        <v>3.3809999999999998</v>
      </c>
      <c r="D5" s="14" t="s">
        <v>54</v>
      </c>
      <c r="E5" s="1" t="s">
        <v>178</v>
      </c>
    </row>
    <row r="6" spans="1:5" ht="15" customHeight="1">
      <c r="A6" s="14" t="s">
        <v>291</v>
      </c>
      <c r="C6" s="46">
        <v>0.06</v>
      </c>
      <c r="D6" s="14"/>
      <c r="E6" s="1" t="s">
        <v>292</v>
      </c>
    </row>
    <row r="7" spans="1:5" ht="15" customHeight="1">
      <c r="A7" s="14" t="s">
        <v>293</v>
      </c>
      <c r="C7" s="46">
        <v>0.15</v>
      </c>
      <c r="D7" s="14"/>
      <c r="E7" s="1" t="s">
        <v>294</v>
      </c>
    </row>
    <row r="8" spans="1:5" ht="15" customHeight="1">
      <c r="A8" s="14" t="s">
        <v>295</v>
      </c>
      <c r="C8" s="49">
        <f>Assumptions!C46</f>
        <v>0.43671607753705816</v>
      </c>
      <c r="D8" s="14"/>
      <c r="E8" s="1" t="s">
        <v>296</v>
      </c>
    </row>
    <row r="9" spans="1:5" ht="15" customHeight="1">
      <c r="A9" s="14" t="s">
        <v>297</v>
      </c>
      <c r="C9" s="49">
        <f>Assumptions!C47</f>
        <v>0.47612985359643539</v>
      </c>
      <c r="D9" s="14"/>
      <c r="E9" s="1" t="s">
        <v>298</v>
      </c>
    </row>
    <row r="10" spans="1:5" ht="15" customHeight="1">
      <c r="A10" s="14" t="s">
        <v>299</v>
      </c>
      <c r="C10" s="58">
        <v>12</v>
      </c>
      <c r="D10" s="14" t="s">
        <v>71</v>
      </c>
      <c r="E10" s="1" t="s">
        <v>300</v>
      </c>
    </row>
    <row r="11" spans="1:5" ht="15" customHeight="1">
      <c r="A11" s="14" t="s">
        <v>301</v>
      </c>
      <c r="C11" s="58">
        <v>28</v>
      </c>
      <c r="D11" s="14" t="s">
        <v>71</v>
      </c>
      <c r="E11" s="1" t="s">
        <v>302</v>
      </c>
    </row>
    <row r="13" spans="1:5" ht="15" customHeight="1">
      <c r="A13" s="32" t="s">
        <v>181</v>
      </c>
    </row>
    <row r="14" spans="1:5" ht="15" customHeight="1">
      <c r="A14" s="14" t="s">
        <v>303</v>
      </c>
      <c r="C14" s="16">
        <f>C4*(C6/(1-C6))</f>
        <v>0.72248936170212752</v>
      </c>
    </row>
    <row r="15" spans="1:5" ht="15" customHeight="1">
      <c r="A15" s="14" t="s">
        <v>304</v>
      </c>
      <c r="C15" s="16">
        <f>C5*(C7/(1-C7))</f>
        <v>0.59664705882352942</v>
      </c>
    </row>
    <row r="16" spans="1:5" ht="15" customHeight="1">
      <c r="A16" s="14" t="s">
        <v>305</v>
      </c>
      <c r="C16" s="16">
        <f>C14*C8</f>
        <v>0.31552272010480598</v>
      </c>
    </row>
    <row r="17" spans="1:5" ht="15" customHeight="1">
      <c r="A17" s="14" t="s">
        <v>306</v>
      </c>
      <c r="C17" s="16">
        <f>C15*C9</f>
        <v>0.28408147676639084</v>
      </c>
    </row>
    <row r="18" spans="1:5" ht="15" customHeight="1">
      <c r="A18" s="14" t="s">
        <v>307</v>
      </c>
      <c r="C18" s="16">
        <f>C16+C17</f>
        <v>0.59960419687119682</v>
      </c>
    </row>
    <row r="19" spans="1:5" ht="15" customHeight="1">
      <c r="A19" s="14" t="s">
        <v>308</v>
      </c>
      <c r="C19" s="44">
        <f>C16*C10/10000*1000</f>
        <v>0.37862726412576719</v>
      </c>
    </row>
    <row r="20" spans="1:5" ht="15" customHeight="1">
      <c r="A20" s="14" t="s">
        <v>309</v>
      </c>
      <c r="C20" s="44">
        <f>C17*C11/10000*1000</f>
        <v>0.79542813494589437</v>
      </c>
    </row>
    <row r="21" spans="1:5" ht="15" customHeight="1">
      <c r="A21" s="14" t="s">
        <v>310</v>
      </c>
      <c r="C21" s="44">
        <f>C19+C20</f>
        <v>1.1740553990716616</v>
      </c>
    </row>
    <row r="22" spans="1:5">
      <c r="A22" t="s">
        <v>311</v>
      </c>
      <c r="C22" s="60">
        <v>1</v>
      </c>
      <c r="D22" t="s">
        <v>66</v>
      </c>
      <c r="E22" t="s">
        <v>312</v>
      </c>
    </row>
    <row r="23" spans="1:5" ht="15" customHeight="1">
      <c r="A23" s="61" t="s">
        <v>313</v>
      </c>
      <c r="C23" s="51">
        <f>C22</f>
        <v>1</v>
      </c>
    </row>
    <row r="25" spans="1:5" ht="15" customHeight="1">
      <c r="A25" s="32" t="s">
        <v>185</v>
      </c>
    </row>
    <row r="26" spans="1:5" ht="15" customHeight="1">
      <c r="A26" s="1" t="s">
        <v>314</v>
      </c>
    </row>
    <row r="27" spans="1:5" ht="15" customHeight="1">
      <c r="A27" s="1" t="s">
        <v>315</v>
      </c>
    </row>
  </sheetData>
  <mergeCells count="1">
    <mergeCell ref="A1:E1"/>
  </mergeCells>
  <pageMargins left="0.75" right="0.75" top="1" bottom="1" header="0.511811023622047" footer="0.511811023622047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4"/>
  <sheetViews>
    <sheetView zoomScaleNormal="100" workbookViewId="0"/>
  </sheetViews>
  <sheetFormatPr defaultColWidth="8.7109375" defaultRowHeight="15"/>
  <cols>
    <col min="1" max="1" width="45" customWidth="1"/>
    <col min="2" max="2" width="4" customWidth="1"/>
    <col min="3" max="3" width="20" customWidth="1"/>
    <col min="4" max="4" width="16" customWidth="1"/>
    <col min="5" max="5" width="35" customWidth="1"/>
  </cols>
  <sheetData>
    <row r="1" spans="1:5" ht="17.25" customHeight="1">
      <c r="A1" s="73" t="s">
        <v>316</v>
      </c>
      <c r="B1" s="73"/>
      <c r="C1" s="73"/>
      <c r="D1" s="73"/>
      <c r="E1" s="73"/>
    </row>
    <row r="3" spans="1:5" ht="15" customHeight="1">
      <c r="A3" s="32" t="s">
        <v>175</v>
      </c>
      <c r="C3" s="23" t="s">
        <v>50</v>
      </c>
      <c r="D3" s="23" t="s">
        <v>51</v>
      </c>
      <c r="E3" s="23" t="s">
        <v>176</v>
      </c>
    </row>
    <row r="4" spans="1:5" ht="15" customHeight="1">
      <c r="A4" s="14" t="s">
        <v>284</v>
      </c>
      <c r="C4" s="34">
        <f>'BS4-MtM Volatility'!C15</f>
        <v>5.1180750000000002</v>
      </c>
      <c r="D4" s="14" t="s">
        <v>66</v>
      </c>
      <c r="E4" s="1" t="s">
        <v>317</v>
      </c>
    </row>
    <row r="5" spans="1:5" ht="15" customHeight="1">
      <c r="A5" s="14" t="s">
        <v>318</v>
      </c>
      <c r="C5" s="46">
        <v>0.1</v>
      </c>
      <c r="D5" s="14"/>
      <c r="E5" s="1" t="s">
        <v>319</v>
      </c>
    </row>
    <row r="7" spans="1:5" ht="15" customHeight="1">
      <c r="A7" s="32" t="s">
        <v>181</v>
      </c>
    </row>
    <row r="8" spans="1:5" ht="15" customHeight="1">
      <c r="A8" s="14" t="s">
        <v>320</v>
      </c>
      <c r="C8" s="44">
        <f>C4*C5</f>
        <v>0.51180750000000008</v>
      </c>
    </row>
    <row r="10" spans="1:5" ht="15" customHeight="1">
      <c r="A10" s="40" t="s">
        <v>321</v>
      </c>
      <c r="C10" s="45">
        <f>C8</f>
        <v>0.51180750000000008</v>
      </c>
    </row>
    <row r="12" spans="1:5" ht="15" customHeight="1">
      <c r="A12" s="32" t="s">
        <v>185</v>
      </c>
    </row>
    <row r="13" spans="1:5" ht="15" customHeight="1">
      <c r="A13" s="1" t="s">
        <v>322</v>
      </c>
    </row>
    <row r="14" spans="1:5" ht="15" customHeight="1">
      <c r="A14" s="1" t="s">
        <v>323</v>
      </c>
    </row>
  </sheetData>
  <mergeCells count="1">
    <mergeCell ref="A1:E1"/>
  </mergeCells>
  <pageMargins left="0.75" right="0.75" top="1" bottom="1" header="0.511811023622047" footer="0.511811023622047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47"/>
  <sheetViews>
    <sheetView zoomScaleNormal="100" workbookViewId="0"/>
  </sheetViews>
  <sheetFormatPr defaultColWidth="8.7109375" defaultRowHeight="15"/>
  <cols>
    <col min="1" max="1" width="44" customWidth="1"/>
    <col min="2" max="2" width="4" customWidth="1"/>
    <col min="3" max="3" width="14" customWidth="1"/>
    <col min="4" max="4" width="10" customWidth="1"/>
    <col min="5" max="5" width="60" customWidth="1"/>
  </cols>
  <sheetData>
    <row r="1" spans="1:5" ht="17.25" customHeight="1">
      <c r="A1" s="74" t="s">
        <v>324</v>
      </c>
      <c r="B1" s="74"/>
      <c r="C1" s="74"/>
      <c r="D1" s="74"/>
      <c r="E1" s="74"/>
    </row>
    <row r="2" spans="1:5" ht="15" customHeight="1">
      <c r="A2" t="s">
        <v>325</v>
      </c>
    </row>
    <row r="3" spans="1:5" ht="15" customHeight="1">
      <c r="A3" s="32"/>
      <c r="C3" s="23"/>
      <c r="D3" s="23"/>
      <c r="E3" s="23"/>
    </row>
    <row r="4" spans="1:5" ht="15" customHeight="1">
      <c r="A4" s="62" t="s">
        <v>326</v>
      </c>
      <c r="B4" s="63"/>
      <c r="C4" s="64"/>
      <c r="D4" s="65"/>
      <c r="E4" s="66"/>
    </row>
    <row r="5" spans="1:5" ht="15" customHeight="1">
      <c r="A5" s="14"/>
      <c r="C5" s="67" t="s">
        <v>50</v>
      </c>
      <c r="D5" s="53" t="s">
        <v>51</v>
      </c>
      <c r="E5" s="53" t="s">
        <v>176</v>
      </c>
    </row>
    <row r="6" spans="1:5" ht="15" customHeight="1">
      <c r="A6" s="14" t="s">
        <v>177</v>
      </c>
      <c r="C6" s="48">
        <f>Assumptions!C6</f>
        <v>14.7</v>
      </c>
      <c r="D6" s="14" t="s">
        <v>54</v>
      </c>
      <c r="E6" s="1" t="s">
        <v>178</v>
      </c>
    </row>
    <row r="7" spans="1:5" ht="15" customHeight="1">
      <c r="A7" s="14" t="s">
        <v>327</v>
      </c>
      <c r="C7" s="50">
        <v>0.125</v>
      </c>
      <c r="D7" s="14" t="s">
        <v>328</v>
      </c>
      <c r="E7" s="1" t="s">
        <v>329</v>
      </c>
    </row>
    <row r="8" spans="1:5" ht="15" customHeight="1">
      <c r="A8" s="14" t="s">
        <v>330</v>
      </c>
      <c r="C8" s="46">
        <f>Assumptions!C20</f>
        <v>36</v>
      </c>
      <c r="D8" s="14" t="s">
        <v>71</v>
      </c>
      <c r="E8" s="1" t="s">
        <v>178</v>
      </c>
    </row>
    <row r="9" spans="1:5" ht="15" customHeight="1">
      <c r="A9" t="s">
        <v>331</v>
      </c>
      <c r="C9" s="60">
        <v>0.25</v>
      </c>
      <c r="E9" t="s">
        <v>332</v>
      </c>
    </row>
    <row r="10" spans="1:5" ht="15" customHeight="1">
      <c r="A10" s="32" t="s">
        <v>333</v>
      </c>
      <c r="C10" s="60">
        <v>0.3</v>
      </c>
      <c r="E10" t="s">
        <v>334</v>
      </c>
    </row>
    <row r="11" spans="1:5" ht="15" customHeight="1">
      <c r="A11" s="14"/>
      <c r="C11" s="16"/>
    </row>
    <row r="12" spans="1:5" ht="15" customHeight="1">
      <c r="A12" s="53" t="s">
        <v>335</v>
      </c>
      <c r="C12" s="44"/>
    </row>
    <row r="13" spans="1:5" ht="15" customHeight="1">
      <c r="A13" s="14" t="s">
        <v>336</v>
      </c>
      <c r="C13" s="56">
        <f>C6*C7</f>
        <v>1.8374999999999999</v>
      </c>
    </row>
    <row r="14" spans="1:5" ht="15" customHeight="1">
      <c r="A14" s="14" t="s">
        <v>337</v>
      </c>
      <c r="C14" s="56">
        <f>C13*C8/10000*1000</f>
        <v>6.6149999999999993</v>
      </c>
    </row>
    <row r="15" spans="1:5" ht="15" customHeight="1">
      <c r="A15" t="s">
        <v>338</v>
      </c>
      <c r="C15" s="55">
        <f>C14*C9</f>
        <v>1.6537499999999998</v>
      </c>
    </row>
    <row r="16" spans="1:5" ht="15" customHeight="1">
      <c r="A16" s="40" t="s">
        <v>339</v>
      </c>
      <c r="C16" s="68">
        <f>C15*C10</f>
        <v>0.49612499999999993</v>
      </c>
    </row>
    <row r="17" spans="1:5" ht="15" customHeight="1">
      <c r="A17" s="53" t="s">
        <v>340</v>
      </c>
      <c r="C17" s="57">
        <f>C16</f>
        <v>0.49612499999999993</v>
      </c>
    </row>
    <row r="18" spans="1:5" ht="15" customHeight="1">
      <c r="A18" s="32"/>
    </row>
    <row r="19" spans="1:5" ht="15" customHeight="1">
      <c r="A19" s="62" t="s">
        <v>341</v>
      </c>
      <c r="B19" s="63"/>
      <c r="C19" s="63"/>
      <c r="D19" s="63"/>
      <c r="E19" s="63"/>
    </row>
    <row r="20" spans="1:5" ht="15" customHeight="1">
      <c r="A20" s="1"/>
      <c r="C20" s="53" t="s">
        <v>50</v>
      </c>
      <c r="D20" s="53" t="s">
        <v>51</v>
      </c>
      <c r="E20" s="53" t="s">
        <v>176</v>
      </c>
    </row>
    <row r="21" spans="1:5" ht="15" customHeight="1">
      <c r="A21" t="s">
        <v>259</v>
      </c>
      <c r="C21" s="69">
        <f>Assumptions!C22</f>
        <v>3</v>
      </c>
      <c r="D21" t="s">
        <v>54</v>
      </c>
      <c r="E21" t="s">
        <v>342</v>
      </c>
    </row>
    <row r="22" spans="1:5" ht="15" customHeight="1">
      <c r="A22" t="s">
        <v>343</v>
      </c>
      <c r="C22" s="60">
        <v>0.6</v>
      </c>
      <c r="E22" t="s">
        <v>344</v>
      </c>
    </row>
    <row r="23" spans="1:5" ht="15" customHeight="1">
      <c r="A23" t="s">
        <v>345</v>
      </c>
      <c r="C23" s="60">
        <v>0.2</v>
      </c>
      <c r="E23" t="s">
        <v>346</v>
      </c>
    </row>
    <row r="24" spans="1:5" ht="15" customHeight="1">
      <c r="A24" t="s">
        <v>347</v>
      </c>
      <c r="C24" s="60">
        <v>50</v>
      </c>
      <c r="D24" t="s">
        <v>71</v>
      </c>
      <c r="E24" t="s">
        <v>348</v>
      </c>
    </row>
    <row r="25" spans="1:5" ht="15" customHeight="1">
      <c r="A25" t="s">
        <v>349</v>
      </c>
      <c r="C25" s="60">
        <v>0.35</v>
      </c>
      <c r="E25" t="s">
        <v>350</v>
      </c>
    </row>
    <row r="26" spans="1:5" ht="15" customHeight="1">
      <c r="A26" t="s">
        <v>351</v>
      </c>
      <c r="C26" s="60">
        <v>0.37</v>
      </c>
      <c r="D26" t="s">
        <v>66</v>
      </c>
      <c r="E26" t="s">
        <v>352</v>
      </c>
    </row>
    <row r="28" spans="1:5" ht="15" customHeight="1">
      <c r="A28" s="53" t="s">
        <v>335</v>
      </c>
    </row>
    <row r="29" spans="1:5" ht="15" customHeight="1">
      <c r="A29" t="s">
        <v>353</v>
      </c>
      <c r="C29" s="55">
        <f>C21*C22</f>
        <v>1.7999999999999998</v>
      </c>
    </row>
    <row r="30" spans="1:5" ht="15" customHeight="1">
      <c r="A30" t="s">
        <v>354</v>
      </c>
      <c r="C30" s="55">
        <f>C29*C23*1000</f>
        <v>360</v>
      </c>
      <c r="D30" t="s">
        <v>66</v>
      </c>
    </row>
    <row r="31" spans="1:5" ht="15" customHeight="1">
      <c r="A31" t="s">
        <v>355</v>
      </c>
      <c r="C31" s="55">
        <f>C30*C24/10000*C25</f>
        <v>0.63</v>
      </c>
    </row>
    <row r="32" spans="1:5" ht="15" customHeight="1">
      <c r="A32" t="s">
        <v>356</v>
      </c>
      <c r="C32" s="55">
        <f>C31+C26</f>
        <v>1</v>
      </c>
    </row>
    <row r="33" spans="1:5" ht="15" customHeight="1">
      <c r="A33" s="53" t="s">
        <v>357</v>
      </c>
      <c r="C33" s="57">
        <f>C32</f>
        <v>1</v>
      </c>
    </row>
    <row r="35" spans="1:5" ht="15" customHeight="1">
      <c r="A35" s="62" t="s">
        <v>358</v>
      </c>
      <c r="B35" s="63"/>
      <c r="C35" s="63"/>
      <c r="D35" s="63"/>
      <c r="E35" s="63"/>
    </row>
    <row r="36" spans="1:5" ht="15" customHeight="1">
      <c r="C36" s="53" t="s">
        <v>50</v>
      </c>
      <c r="D36" s="53" t="s">
        <v>51</v>
      </c>
      <c r="E36" s="53" t="s">
        <v>176</v>
      </c>
    </row>
    <row r="37" spans="1:5" ht="15" customHeight="1">
      <c r="A37" t="s">
        <v>359</v>
      </c>
      <c r="C37" s="60">
        <v>1</v>
      </c>
      <c r="D37" t="s">
        <v>66</v>
      </c>
      <c r="E37" t="s">
        <v>360</v>
      </c>
    </row>
    <row r="39" spans="1:5" ht="15" customHeight="1">
      <c r="A39" s="53" t="s">
        <v>361</v>
      </c>
      <c r="C39" s="57">
        <f>C37</f>
        <v>1</v>
      </c>
    </row>
    <row r="41" spans="1:5" ht="15" customHeight="1">
      <c r="A41" s="70" t="s">
        <v>362</v>
      </c>
      <c r="B41" s="71"/>
      <c r="C41" s="72">
        <f>C17+C33+C39</f>
        <v>2.4961250000000001</v>
      </c>
      <c r="D41" s="71"/>
      <c r="E41" s="71"/>
    </row>
    <row r="43" spans="1:5" ht="15" customHeight="1">
      <c r="A43" s="53" t="s">
        <v>185</v>
      </c>
    </row>
    <row r="44" spans="1:5" ht="15" customHeight="1">
      <c r="A44" t="s">
        <v>363</v>
      </c>
    </row>
    <row r="45" spans="1:5" ht="15" customHeight="1">
      <c r="A45" t="s">
        <v>364</v>
      </c>
    </row>
    <row r="46" spans="1:5" ht="15" customHeight="1">
      <c r="A46" t="s">
        <v>365</v>
      </c>
    </row>
    <row r="47" spans="1:5" ht="15" customHeight="1">
      <c r="A47" t="s">
        <v>366</v>
      </c>
    </row>
  </sheetData>
  <mergeCells count="1">
    <mergeCell ref="A1:E1"/>
  </mergeCells>
  <pageMargins left="0.75" right="0.75" top="1" bottom="1" header="0.511811023622047" footer="0.511811023622047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20"/>
  <sheetViews>
    <sheetView zoomScaleNormal="100" workbookViewId="0"/>
  </sheetViews>
  <sheetFormatPr defaultColWidth="8.7109375" defaultRowHeight="15"/>
  <cols>
    <col min="1" max="1" width="45" customWidth="1"/>
    <col min="2" max="2" width="4" customWidth="1"/>
    <col min="3" max="3" width="20" customWidth="1"/>
    <col min="4" max="4" width="16" customWidth="1"/>
    <col min="5" max="5" width="35" customWidth="1"/>
  </cols>
  <sheetData>
    <row r="1" spans="1:5" ht="17.25" customHeight="1">
      <c r="A1" s="73" t="s">
        <v>367</v>
      </c>
      <c r="B1" s="73"/>
      <c r="C1" s="73"/>
      <c r="D1" s="73"/>
      <c r="E1" s="73"/>
    </row>
    <row r="3" spans="1:5" ht="15" customHeight="1">
      <c r="A3" s="32" t="s">
        <v>175</v>
      </c>
      <c r="C3" s="23" t="s">
        <v>50</v>
      </c>
      <c r="D3" s="23" t="s">
        <v>51</v>
      </c>
      <c r="E3" s="23" t="s">
        <v>176</v>
      </c>
    </row>
    <row r="4" spans="1:5" ht="15" customHeight="1">
      <c r="A4" s="14" t="s">
        <v>368</v>
      </c>
      <c r="C4" s="41">
        <f>Assumptions!C27</f>
        <v>16.5</v>
      </c>
      <c r="D4" s="14" t="s">
        <v>66</v>
      </c>
      <c r="E4" s="1" t="s">
        <v>178</v>
      </c>
    </row>
    <row r="5" spans="1:5" ht="15" customHeight="1">
      <c r="A5" s="14" t="s">
        <v>369</v>
      </c>
      <c r="C5" s="46">
        <v>7.0000000000000007E-2</v>
      </c>
      <c r="D5" s="14"/>
      <c r="E5" s="1" t="s">
        <v>370</v>
      </c>
    </row>
    <row r="6" spans="1:5" ht="15" customHeight="1">
      <c r="A6" s="14" t="s">
        <v>371</v>
      </c>
      <c r="C6" s="46">
        <v>0.25</v>
      </c>
      <c r="D6" s="14"/>
      <c r="E6" s="1" t="s">
        <v>372</v>
      </c>
    </row>
    <row r="7" spans="1:5" ht="15" customHeight="1">
      <c r="A7" s="14" t="s">
        <v>373</v>
      </c>
      <c r="C7" s="46">
        <v>0.42</v>
      </c>
      <c r="D7" s="14"/>
      <c r="E7" s="1" t="s">
        <v>374</v>
      </c>
    </row>
    <row r="8" spans="1:5" ht="15" customHeight="1">
      <c r="A8" s="14" t="s">
        <v>375</v>
      </c>
      <c r="C8" s="47">
        <v>1.5</v>
      </c>
      <c r="D8" s="14" t="s">
        <v>200</v>
      </c>
      <c r="E8" s="1" t="s">
        <v>376</v>
      </c>
    </row>
    <row r="10" spans="1:5" ht="15" customHeight="1">
      <c r="A10" s="32" t="s">
        <v>181</v>
      </c>
    </row>
    <row r="11" spans="1:5" ht="15" customHeight="1">
      <c r="A11" s="14" t="s">
        <v>377</v>
      </c>
      <c r="C11" s="44">
        <f>C4*C5</f>
        <v>1.155</v>
      </c>
    </row>
    <row r="12" spans="1:5" ht="15" customHeight="1">
      <c r="A12" s="14" t="s">
        <v>378</v>
      </c>
      <c r="C12" s="44">
        <f>C11*C6</f>
        <v>0.28875000000000001</v>
      </c>
    </row>
    <row r="13" spans="1:5" ht="15" customHeight="1">
      <c r="A13" s="14" t="s">
        <v>379</v>
      </c>
      <c r="C13" s="44">
        <f>C12*C7</f>
        <v>0.12127499999999999</v>
      </c>
    </row>
    <row r="14" spans="1:5" ht="15" customHeight="1">
      <c r="A14" s="14" t="s">
        <v>380</v>
      </c>
      <c r="C14" s="44">
        <f>C13*C8</f>
        <v>0.18191249999999998</v>
      </c>
    </row>
    <row r="16" spans="1:5" ht="15" customHeight="1">
      <c r="A16" s="40" t="s">
        <v>381</v>
      </c>
      <c r="C16" s="45">
        <f>C14</f>
        <v>0.18191249999999998</v>
      </c>
    </row>
    <row r="18" spans="1:1" ht="15" customHeight="1">
      <c r="A18" s="32" t="s">
        <v>185</v>
      </c>
    </row>
    <row r="19" spans="1:1" ht="15" customHeight="1">
      <c r="A19" s="1" t="s">
        <v>382</v>
      </c>
    </row>
    <row r="20" spans="1:1" ht="15" customHeight="1">
      <c r="A20" s="1" t="s">
        <v>383</v>
      </c>
    </row>
  </sheetData>
  <mergeCells count="1">
    <mergeCell ref="A1:E1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"/>
  <sheetViews>
    <sheetView zoomScaleNormal="100" workbookViewId="0"/>
  </sheetViews>
  <sheetFormatPr defaultColWidth="8.7109375" defaultRowHeight="15"/>
  <cols>
    <col min="1" max="1" width="8" customWidth="1"/>
    <col min="2" max="2" width="35" customWidth="1"/>
    <col min="3" max="3" width="45" customWidth="1"/>
    <col min="4" max="4" width="20" customWidth="1"/>
    <col min="5" max="5" width="18" customWidth="1"/>
    <col min="6" max="7" width="22" customWidth="1"/>
  </cols>
  <sheetData>
    <row r="1" spans="1:7" ht="17.25" customHeight="1">
      <c r="A1" s="73" t="s">
        <v>31</v>
      </c>
      <c r="B1" s="73"/>
      <c r="C1" s="73"/>
      <c r="D1" s="73"/>
      <c r="E1" s="73"/>
      <c r="F1" s="73"/>
      <c r="G1" s="73"/>
    </row>
    <row r="2" spans="1:7" ht="15" customHeight="1">
      <c r="A2" s="1" t="s">
        <v>32</v>
      </c>
    </row>
    <row r="4" spans="1:7" ht="15" customHeight="1">
      <c r="A4" s="11" t="s">
        <v>2</v>
      </c>
      <c r="B4" s="11" t="s">
        <v>33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</row>
    <row r="5" spans="1:7" ht="26.25" customHeight="1">
      <c r="A5" s="3">
        <v>1</v>
      </c>
      <c r="B5" s="4" t="s">
        <v>34</v>
      </c>
      <c r="C5" s="5" t="s">
        <v>35</v>
      </c>
      <c r="D5" s="3" t="s">
        <v>36</v>
      </c>
      <c r="E5" s="6">
        <f>'SS1-Unprofit Trades'!C12</f>
        <v>3.4320824999999999</v>
      </c>
      <c r="F5" s="6">
        <f>'SS1-Unprofit Trades'!C12*Assumptions!C57/Assumptions!C43</f>
        <v>4.6843754999999998</v>
      </c>
      <c r="G5" s="6">
        <f>'SS1-Unprofit Trades'!C12*Assumptions!C66/Assumptions!C43</f>
        <v>9.7963004999999992</v>
      </c>
    </row>
    <row r="6" spans="1:7" ht="15" customHeight="1">
      <c r="A6" s="3">
        <v>2</v>
      </c>
      <c r="B6" s="4" t="s">
        <v>37</v>
      </c>
      <c r="C6" s="5" t="s">
        <v>38</v>
      </c>
      <c r="D6" s="3" t="s">
        <v>36</v>
      </c>
      <c r="E6" s="6">
        <f>'SS2-Capturing Trades'!C12</f>
        <v>3.4320824999999999</v>
      </c>
      <c r="F6" s="6">
        <f>'SS2-Capturing Trades'!C12*Assumptions!C57/Assumptions!C43</f>
        <v>4.6843754999999998</v>
      </c>
      <c r="G6" s="6">
        <f>'SS2-Capturing Trades'!C12*Assumptions!C66/Assumptions!C43</f>
        <v>9.7963004999999992</v>
      </c>
    </row>
    <row r="7" spans="1:7" ht="15" customHeight="1">
      <c r="A7" s="3">
        <v>3</v>
      </c>
      <c r="B7" s="4" t="s">
        <v>39</v>
      </c>
      <c r="C7" s="5" t="s">
        <v>40</v>
      </c>
      <c r="D7" s="3" t="s">
        <v>41</v>
      </c>
      <c r="E7" s="6">
        <f>'SS3-Competition'!C14</f>
        <v>1.4249999999999998</v>
      </c>
      <c r="F7" s="6">
        <f>'SS3-Competition'!C14*Assumptions!C57/Assumptions!C43</f>
        <v>1.9449518149694822</v>
      </c>
      <c r="G7" s="6">
        <f>'SS3-Competition'!C14*Assumptions!C66/Assumptions!C43</f>
        <v>4.0674221008673301</v>
      </c>
    </row>
    <row r="8" spans="1:7" ht="15" customHeight="1">
      <c r="A8" s="3">
        <v>4</v>
      </c>
      <c r="B8" s="4" t="s">
        <v>42</v>
      </c>
      <c r="C8" s="5" t="s">
        <v>43</v>
      </c>
      <c r="D8" s="3" t="s">
        <v>14</v>
      </c>
      <c r="E8" s="6">
        <f>'SS4-Inventory Risk'!C14</f>
        <v>1.9992000000000001</v>
      </c>
      <c r="F8" s="6">
        <f>'SS4-Inventory Risk'!C14*Assumptions!C57/Assumptions!C43</f>
        <v>2.728665030517186</v>
      </c>
      <c r="G8" s="6">
        <f>'SS4-Inventory Risk'!C14*Assumptions!C66/Assumptions!C43</f>
        <v>5.7063791326694506</v>
      </c>
    </row>
    <row r="9" spans="1:7" ht="15" customHeight="1">
      <c r="A9" s="3">
        <v>5</v>
      </c>
      <c r="B9" s="4" t="s">
        <v>44</v>
      </c>
      <c r="C9" s="5" t="s">
        <v>45</v>
      </c>
      <c r="D9" s="3" t="s">
        <v>28</v>
      </c>
      <c r="E9" s="6">
        <f>'SS5-Oper Efficiencies'!C14</f>
        <v>1.4994000000000001</v>
      </c>
      <c r="F9" s="6">
        <f>'SS5-Oper Efficiencies'!C14*Assumptions!C57/Assumptions!C43</f>
        <v>2.0464987728878894</v>
      </c>
      <c r="G9" s="6">
        <f>'SS5-Oper Efficiencies'!C14*Assumptions!C66/Assumptions!C43</f>
        <v>4.279784349502088</v>
      </c>
    </row>
    <row r="10" spans="1:7" ht="15" customHeight="1">
      <c r="B10" s="7" t="s">
        <v>46</v>
      </c>
      <c r="E10" s="8">
        <f>SUM(E5:E9)</f>
        <v>11.787765</v>
      </c>
      <c r="F10" s="8">
        <f>SUM(F5:F9)</f>
        <v>16.088866618374556</v>
      </c>
      <c r="G10" s="8">
        <f>SUM(G5:G9)</f>
        <v>33.646186583038869</v>
      </c>
    </row>
  </sheetData>
  <mergeCells count="1">
    <mergeCell ref="A1:G1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8"/>
  <sheetViews>
    <sheetView zoomScaleNormal="100" workbookViewId="0"/>
  </sheetViews>
  <sheetFormatPr defaultColWidth="8.7109375" defaultRowHeight="15"/>
  <cols>
    <col min="1" max="1" width="40" customWidth="1"/>
    <col min="2" max="2" width="4" customWidth="1"/>
    <col min="3" max="3" width="18" customWidth="1"/>
    <col min="4" max="4" width="16" customWidth="1"/>
    <col min="5" max="5" width="35" customWidth="1"/>
    <col min="6" max="6" width="30" customWidth="1"/>
  </cols>
  <sheetData>
    <row r="1" spans="1:6" ht="17.25" customHeight="1">
      <c r="A1" s="73" t="s">
        <v>47</v>
      </c>
      <c r="B1" s="73"/>
      <c r="C1" s="73"/>
      <c r="D1" s="73"/>
      <c r="E1" s="73"/>
      <c r="F1" s="73"/>
    </row>
    <row r="3" spans="1:6" ht="17.25" customHeight="1">
      <c r="A3" s="73" t="s">
        <v>48</v>
      </c>
      <c r="B3" s="73"/>
      <c r="C3" s="73"/>
      <c r="D3" s="73"/>
      <c r="E3" s="73"/>
      <c r="F3" s="73"/>
    </row>
    <row r="5" spans="1:6" ht="15" customHeight="1">
      <c r="A5" s="12" t="s">
        <v>49</v>
      </c>
      <c r="B5" s="13"/>
      <c r="C5" s="12" t="s">
        <v>50</v>
      </c>
      <c r="D5" s="12" t="s">
        <v>51</v>
      </c>
      <c r="E5" s="12" t="s">
        <v>52</v>
      </c>
    </row>
    <row r="6" spans="1:6" ht="15" customHeight="1">
      <c r="A6" s="14" t="s">
        <v>53</v>
      </c>
      <c r="C6" s="15">
        <v>14.7</v>
      </c>
      <c r="D6" s="14" t="s">
        <v>54</v>
      </c>
      <c r="E6" s="1" t="s">
        <v>55</v>
      </c>
    </row>
    <row r="7" spans="1:6" ht="15" customHeight="1">
      <c r="A7" s="14" t="s">
        <v>56</v>
      </c>
      <c r="C7" s="15">
        <v>0.77</v>
      </c>
      <c r="D7" s="14"/>
    </row>
    <row r="8" spans="1:6" ht="15" customHeight="1">
      <c r="A8" s="14" t="s">
        <v>57</v>
      </c>
      <c r="C8" s="15">
        <v>0.23</v>
      </c>
      <c r="D8" s="14"/>
    </row>
    <row r="9" spans="1:6" ht="15" customHeight="1">
      <c r="A9" s="14" t="s">
        <v>58</v>
      </c>
      <c r="C9" s="16">
        <f>C6*C7</f>
        <v>11.318999999999999</v>
      </c>
      <c r="D9" s="14" t="s">
        <v>54</v>
      </c>
    </row>
    <row r="10" spans="1:6" ht="15" customHeight="1">
      <c r="A10" s="14" t="s">
        <v>59</v>
      </c>
      <c r="C10" s="16">
        <f>C6*C8</f>
        <v>3.3809999999999998</v>
      </c>
      <c r="D10" s="14" t="s">
        <v>54</v>
      </c>
    </row>
    <row r="12" spans="1:6" ht="15" customHeight="1">
      <c r="A12" s="14" t="s">
        <v>60</v>
      </c>
      <c r="C12" s="15">
        <v>11.5</v>
      </c>
      <c r="D12" s="14" t="s">
        <v>54</v>
      </c>
      <c r="E12" s="1" t="s">
        <v>55</v>
      </c>
    </row>
    <row r="13" spans="1:6" ht="15" customHeight="1">
      <c r="A13" s="14" t="s">
        <v>61</v>
      </c>
      <c r="C13" s="17">
        <v>0.83</v>
      </c>
    </row>
    <row r="14" spans="1:6" ht="15" customHeight="1">
      <c r="A14" s="14" t="s">
        <v>62</v>
      </c>
      <c r="C14" s="18">
        <f>1-C13</f>
        <v>0.17000000000000004</v>
      </c>
    </row>
    <row r="15" spans="1:6" ht="15" customHeight="1">
      <c r="A15" s="14" t="s">
        <v>63</v>
      </c>
      <c r="C15" s="16">
        <f>C12*C13</f>
        <v>9.5449999999999999</v>
      </c>
      <c r="D15" s="14" t="s">
        <v>54</v>
      </c>
    </row>
    <row r="16" spans="1:6" ht="15" customHeight="1">
      <c r="A16" s="14" t="s">
        <v>64</v>
      </c>
      <c r="C16" s="16">
        <f>C12*C14</f>
        <v>1.9550000000000005</v>
      </c>
      <c r="D16" s="14" t="s">
        <v>54</v>
      </c>
    </row>
    <row r="18" spans="1:6" ht="15" customHeight="1">
      <c r="A18" s="14" t="s">
        <v>65</v>
      </c>
      <c r="C18" s="15">
        <v>7.6</v>
      </c>
      <c r="D18" s="14" t="s">
        <v>66</v>
      </c>
      <c r="E18" s="1" t="s">
        <v>67</v>
      </c>
    </row>
    <row r="19" spans="1:6" ht="15" customHeight="1">
      <c r="A19" s="14" t="s">
        <v>68</v>
      </c>
      <c r="C19" s="19">
        <v>294</v>
      </c>
      <c r="D19" s="14" t="s">
        <v>66</v>
      </c>
      <c r="E19" s="1" t="s">
        <v>69</v>
      </c>
    </row>
    <row r="20" spans="1:6" ht="15" customHeight="1">
      <c r="A20" s="14" t="s">
        <v>70</v>
      </c>
      <c r="C20" s="19">
        <v>36</v>
      </c>
      <c r="D20" s="14" t="s">
        <v>71</v>
      </c>
    </row>
    <row r="21" spans="1:6" ht="15" customHeight="1">
      <c r="A21" s="14" t="s">
        <v>72</v>
      </c>
      <c r="C21" s="20">
        <v>0.02</v>
      </c>
      <c r="E21" s="1" t="s">
        <v>73</v>
      </c>
    </row>
    <row r="22" spans="1:6" ht="15" customHeight="1">
      <c r="A22" s="14" t="s">
        <v>74</v>
      </c>
      <c r="C22" s="15">
        <v>3</v>
      </c>
      <c r="D22" s="14" t="s">
        <v>54</v>
      </c>
      <c r="E22" s="1" t="s">
        <v>75</v>
      </c>
    </row>
    <row r="23" spans="1:6" ht="15" customHeight="1">
      <c r="A23" s="14" t="s">
        <v>76</v>
      </c>
      <c r="C23" s="15">
        <v>5</v>
      </c>
      <c r="D23" s="14" t="s">
        <v>54</v>
      </c>
    </row>
    <row r="24" spans="1:6" ht="15" customHeight="1">
      <c r="A24" s="14" t="s">
        <v>77</v>
      </c>
      <c r="C24" s="15">
        <v>2.5</v>
      </c>
      <c r="D24" s="14" t="s">
        <v>54</v>
      </c>
      <c r="E24" s="1" t="s">
        <v>78</v>
      </c>
    </row>
    <row r="25" spans="1:6" ht="15" customHeight="1">
      <c r="A25" s="14" t="s">
        <v>79</v>
      </c>
      <c r="C25" s="15">
        <v>1.5</v>
      </c>
      <c r="D25" s="14" t="s">
        <v>54</v>
      </c>
      <c r="E25" s="1" t="s">
        <v>80</v>
      </c>
    </row>
    <row r="26" spans="1:6" ht="15" customHeight="1">
      <c r="A26" s="14" t="s">
        <v>81</v>
      </c>
      <c r="C26" s="19">
        <v>25</v>
      </c>
      <c r="D26" s="14" t="s">
        <v>66</v>
      </c>
      <c r="E26" s="1" t="s">
        <v>82</v>
      </c>
    </row>
    <row r="27" spans="1:6" ht="15" customHeight="1">
      <c r="A27" s="14" t="s">
        <v>83</v>
      </c>
      <c r="C27" s="15">
        <v>16.5</v>
      </c>
      <c r="D27" s="14" t="s">
        <v>66</v>
      </c>
      <c r="E27" s="1" t="s">
        <v>84</v>
      </c>
    </row>
    <row r="29" spans="1:6" ht="17.25" customHeight="1">
      <c r="A29" s="73" t="s">
        <v>85</v>
      </c>
      <c r="B29" s="73"/>
      <c r="C29" s="73"/>
      <c r="D29" s="73"/>
      <c r="E29" s="73"/>
      <c r="F29" s="73"/>
    </row>
    <row r="31" spans="1:6" ht="15" customHeight="1">
      <c r="A31" s="12" t="s">
        <v>86</v>
      </c>
      <c r="B31" s="12"/>
      <c r="C31" s="12" t="s">
        <v>11</v>
      </c>
      <c r="D31" s="12" t="s">
        <v>14</v>
      </c>
      <c r="E31" s="12" t="s">
        <v>28</v>
      </c>
      <c r="F31" s="12" t="s">
        <v>87</v>
      </c>
    </row>
    <row r="32" spans="1:6" ht="15" customHeight="1">
      <c r="A32" s="14" t="s">
        <v>88</v>
      </c>
      <c r="C32" s="21">
        <v>4.9399999999999999E-2</v>
      </c>
      <c r="D32" s="21">
        <v>0.10489999999999999</v>
      </c>
      <c r="E32" s="21">
        <v>0.309</v>
      </c>
      <c r="F32" s="22">
        <v>315750</v>
      </c>
    </row>
    <row r="33" spans="1:6" ht="15" customHeight="1">
      <c r="A33" s="14" t="s">
        <v>89</v>
      </c>
      <c r="C33" s="21">
        <v>8.77E-2</v>
      </c>
      <c r="D33" s="21">
        <v>0.184</v>
      </c>
      <c r="E33" s="21">
        <v>0.51500000000000001</v>
      </c>
      <c r="F33" s="22">
        <v>509811</v>
      </c>
    </row>
    <row r="34" spans="1:6" ht="15" customHeight="1">
      <c r="A34" s="23" t="s">
        <v>90</v>
      </c>
      <c r="C34" s="24">
        <f>C33-C32</f>
        <v>3.8300000000000001E-2</v>
      </c>
      <c r="D34" s="24">
        <f>D33-D32</f>
        <v>7.9100000000000004E-2</v>
      </c>
      <c r="E34" s="24">
        <f>E33-E32</f>
        <v>0.20600000000000002</v>
      </c>
    </row>
    <row r="35" spans="1:6" ht="15" customHeight="1">
      <c r="A35" s="14"/>
    </row>
    <row r="36" spans="1:6" ht="15" customHeight="1">
      <c r="A36" s="14" t="s">
        <v>91</v>
      </c>
      <c r="C36" s="21">
        <v>8.2299999999999998E-2</v>
      </c>
      <c r="D36" s="21">
        <v>0.15890000000000001</v>
      </c>
      <c r="E36" s="21">
        <v>0.41689999999999999</v>
      </c>
      <c r="F36" s="22">
        <v>97816</v>
      </c>
    </row>
    <row r="37" spans="1:6" ht="15" customHeight="1">
      <c r="A37" s="14" t="s">
        <v>92</v>
      </c>
      <c r="C37" s="21">
        <v>0.15709999999999999</v>
      </c>
      <c r="D37" s="21">
        <v>0.307</v>
      </c>
      <c r="E37" s="21">
        <v>0.78900000000000003</v>
      </c>
      <c r="F37" s="22">
        <v>193033</v>
      </c>
    </row>
    <row r="38" spans="1:6" ht="15" customHeight="1">
      <c r="A38" s="23" t="s">
        <v>93</v>
      </c>
      <c r="C38" s="24">
        <f>C37-C36</f>
        <v>7.4799999999999991E-2</v>
      </c>
      <c r="D38" s="24">
        <f>D37-D36</f>
        <v>0.14809999999999998</v>
      </c>
      <c r="E38" s="24">
        <f>E37-E36</f>
        <v>0.37210000000000004</v>
      </c>
    </row>
    <row r="40" spans="1:6" ht="15" customHeight="1">
      <c r="A40" s="12" t="s">
        <v>94</v>
      </c>
      <c r="B40" s="12"/>
      <c r="C40" s="12" t="s">
        <v>11</v>
      </c>
      <c r="D40" s="12" t="s">
        <v>14</v>
      </c>
      <c r="E40" s="12" t="s">
        <v>28</v>
      </c>
    </row>
    <row r="41" spans="1:6" ht="15" customHeight="1">
      <c r="A41" s="14" t="s">
        <v>95</v>
      </c>
      <c r="C41" s="25">
        <f>C34/100</f>
        <v>3.8299999999999999E-4</v>
      </c>
      <c r="D41" s="25">
        <f>D34/100</f>
        <v>7.9100000000000004E-4</v>
      </c>
      <c r="E41" s="25">
        <f>E34/100</f>
        <v>2.0600000000000002E-3</v>
      </c>
    </row>
    <row r="42" spans="1:6" ht="15" customHeight="1">
      <c r="A42" s="14" t="s">
        <v>96</v>
      </c>
      <c r="C42" s="25">
        <f>C38/100</f>
        <v>7.4799999999999997E-4</v>
      </c>
      <c r="D42" s="25">
        <f>D38/100</f>
        <v>1.4809999999999999E-3</v>
      </c>
      <c r="E42" s="25">
        <f>E38/100</f>
        <v>3.7210000000000003E-3</v>
      </c>
    </row>
    <row r="43" spans="1:6" ht="15" customHeight="1">
      <c r="A43" s="23" t="s">
        <v>97</v>
      </c>
      <c r="C43" s="26">
        <f>C41*C7+C42*C8</f>
        <v>4.6695000000000005E-4</v>
      </c>
      <c r="F43" s="1" t="s">
        <v>98</v>
      </c>
    </row>
    <row r="45" spans="1:6" ht="15" customHeight="1">
      <c r="A45" s="12" t="s">
        <v>99</v>
      </c>
      <c r="B45" s="12"/>
      <c r="C45" s="12" t="s">
        <v>11</v>
      </c>
      <c r="D45" s="12" t="s">
        <v>14</v>
      </c>
      <c r="E45" s="12" t="s">
        <v>28</v>
      </c>
    </row>
    <row r="46" spans="1:6" ht="15" customHeight="1">
      <c r="A46" s="14" t="s">
        <v>100</v>
      </c>
      <c r="C46" s="27">
        <f>C34/C33</f>
        <v>0.43671607753705816</v>
      </c>
      <c r="D46" s="27">
        <f>D34/D33</f>
        <v>0.42989130434782613</v>
      </c>
      <c r="E46" s="27">
        <f>E34/E33</f>
        <v>0.4</v>
      </c>
    </row>
    <row r="47" spans="1:6" ht="15" customHeight="1">
      <c r="A47" s="14" t="s">
        <v>101</v>
      </c>
      <c r="C47" s="27">
        <f>C38/C37</f>
        <v>0.47612985359643539</v>
      </c>
      <c r="D47" s="27">
        <f>D38/D37</f>
        <v>0.48241042345276869</v>
      </c>
      <c r="E47" s="27">
        <f>E38/E37</f>
        <v>0.47160963244613435</v>
      </c>
    </row>
    <row r="50" spans="1:6" ht="17.25" customHeight="1">
      <c r="A50" s="73" t="s">
        <v>102</v>
      </c>
      <c r="B50" s="73"/>
      <c r="C50" s="73"/>
      <c r="D50" s="73"/>
      <c r="E50" s="73"/>
      <c r="F50" s="73"/>
    </row>
    <row r="52" spans="1:6" ht="26.25" customHeight="1">
      <c r="A52" s="12" t="s">
        <v>103</v>
      </c>
      <c r="B52" s="12"/>
      <c r="C52" s="12" t="s">
        <v>11</v>
      </c>
      <c r="D52" s="12" t="s">
        <v>14</v>
      </c>
      <c r="E52" s="12" t="s">
        <v>28</v>
      </c>
      <c r="F52" s="12" t="s">
        <v>104</v>
      </c>
    </row>
    <row r="53" spans="1:6" ht="15" customHeight="1">
      <c r="A53" s="14" t="s">
        <v>105</v>
      </c>
      <c r="C53" s="21">
        <v>0.1</v>
      </c>
      <c r="D53" s="21">
        <v>0.20499999999999999</v>
      </c>
      <c r="E53" s="21">
        <v>0.55000000000000004</v>
      </c>
      <c r="F53" s="1" t="s">
        <v>106</v>
      </c>
    </row>
    <row r="54" spans="1:6" ht="15" customHeight="1">
      <c r="A54" s="14" t="s">
        <v>107</v>
      </c>
      <c r="C54" s="21">
        <v>0.19</v>
      </c>
      <c r="D54" s="21">
        <v>0.37</v>
      </c>
      <c r="E54" s="21">
        <v>0.95</v>
      </c>
      <c r="F54" s="1" t="s">
        <v>108</v>
      </c>
    </row>
    <row r="55" spans="1:6" ht="15" customHeight="1">
      <c r="A55" s="23" t="s">
        <v>109</v>
      </c>
      <c r="C55" s="24">
        <f>C53-C32</f>
        <v>5.0600000000000006E-2</v>
      </c>
      <c r="D55" s="24">
        <f>D53-D32</f>
        <v>0.10009999999999999</v>
      </c>
      <c r="E55" s="24">
        <f>E53-E32</f>
        <v>0.24100000000000005</v>
      </c>
    </row>
    <row r="56" spans="1:6" ht="15" customHeight="1">
      <c r="A56" s="23" t="s">
        <v>110</v>
      </c>
      <c r="C56" s="24">
        <f>C54-C36</f>
        <v>0.1077</v>
      </c>
      <c r="D56" s="24">
        <f>D54-D36</f>
        <v>0.21109999999999998</v>
      </c>
      <c r="E56" s="24">
        <f>E54-E36</f>
        <v>0.53309999999999991</v>
      </c>
    </row>
    <row r="57" spans="1:6" ht="15" customHeight="1">
      <c r="A57" s="23" t="s">
        <v>111</v>
      </c>
      <c r="C57" s="26">
        <f>(C55/100)*C7+(C56/100)*C8</f>
        <v>6.3732999999999997E-4</v>
      </c>
    </row>
    <row r="59" spans="1:6" ht="17.25" customHeight="1">
      <c r="A59" s="73" t="s">
        <v>112</v>
      </c>
      <c r="B59" s="73"/>
      <c r="C59" s="73"/>
      <c r="D59" s="73"/>
      <c r="E59" s="73"/>
      <c r="F59" s="73"/>
    </row>
    <row r="61" spans="1:6" ht="26.25" customHeight="1">
      <c r="A61" s="12" t="s">
        <v>113</v>
      </c>
      <c r="B61" s="12"/>
      <c r="C61" s="12" t="s">
        <v>11</v>
      </c>
      <c r="D61" s="12" t="s">
        <v>14</v>
      </c>
      <c r="E61" s="12" t="s">
        <v>28</v>
      </c>
      <c r="F61" s="12" t="s">
        <v>104</v>
      </c>
    </row>
    <row r="62" spans="1:6" ht="15" customHeight="1">
      <c r="A62" s="14" t="s">
        <v>114</v>
      </c>
      <c r="C62" s="21">
        <v>0.15</v>
      </c>
      <c r="D62" s="21">
        <v>0.32500000000000001</v>
      </c>
      <c r="E62" s="21">
        <v>0.8</v>
      </c>
      <c r="F62" s="1" t="s">
        <v>115</v>
      </c>
    </row>
    <row r="63" spans="1:6" ht="15" customHeight="1">
      <c r="A63" s="14" t="s">
        <v>116</v>
      </c>
      <c r="C63" s="21">
        <v>0.32500000000000001</v>
      </c>
      <c r="D63" s="21">
        <v>0.65</v>
      </c>
      <c r="E63" s="21">
        <v>1.5</v>
      </c>
      <c r="F63" s="1" t="s">
        <v>117</v>
      </c>
    </row>
    <row r="64" spans="1:6" ht="15" customHeight="1">
      <c r="A64" s="23" t="s">
        <v>118</v>
      </c>
      <c r="C64" s="24">
        <f>C62-C32</f>
        <v>0.10059999999999999</v>
      </c>
      <c r="D64" s="24">
        <f>D62-D32</f>
        <v>0.22010000000000002</v>
      </c>
      <c r="E64" s="24">
        <f>E62-E32</f>
        <v>0.49100000000000005</v>
      </c>
    </row>
    <row r="65" spans="1:5" ht="15" customHeight="1">
      <c r="A65" s="23" t="s">
        <v>119</v>
      </c>
      <c r="C65" s="24">
        <f>C63-C36</f>
        <v>0.24270000000000003</v>
      </c>
      <c r="D65" s="24">
        <f>D63-D36</f>
        <v>0.49109999999999998</v>
      </c>
      <c r="E65" s="24">
        <f>E63-E36</f>
        <v>1.0831</v>
      </c>
    </row>
    <row r="66" spans="1:5" ht="15" customHeight="1">
      <c r="A66" s="23" t="s">
        <v>120</v>
      </c>
      <c r="C66" s="26">
        <f>(C64/100)*C7+(C65/100)*C8</f>
        <v>1.3328300000000001E-3</v>
      </c>
    </row>
    <row r="68" spans="1:5" ht="15" customHeight="1">
      <c r="A68" s="1" t="s">
        <v>121</v>
      </c>
    </row>
  </sheetData>
  <mergeCells count="5">
    <mergeCell ref="A1:F1"/>
    <mergeCell ref="A3:F3"/>
    <mergeCell ref="A29:F29"/>
    <mergeCell ref="A50:F50"/>
    <mergeCell ref="A59:F59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"/>
  <sheetViews>
    <sheetView zoomScaleNormal="100" workbookViewId="0"/>
  </sheetViews>
  <sheetFormatPr defaultColWidth="8.7109375" defaultRowHeight="15"/>
  <cols>
    <col min="1" max="5" width="20" customWidth="1"/>
    <col min="6" max="6" width="45" customWidth="1"/>
    <col min="7" max="8" width="14" customWidth="1"/>
  </cols>
  <sheetData>
    <row r="1" spans="1:8" ht="17.25" customHeight="1">
      <c r="A1" s="73" t="s">
        <v>122</v>
      </c>
      <c r="B1" s="73"/>
      <c r="C1" s="73"/>
      <c r="D1" s="73"/>
      <c r="E1" s="73"/>
      <c r="F1" s="73"/>
      <c r="G1" s="73"/>
      <c r="H1" s="73"/>
    </row>
    <row r="2" spans="1:8" ht="15" customHeight="1">
      <c r="A2" s="1" t="s">
        <v>123</v>
      </c>
    </row>
    <row r="4" spans="1:8" ht="15" customHeight="1">
      <c r="A4" s="28" t="s">
        <v>124</v>
      </c>
      <c r="B4" s="28" t="s">
        <v>125</v>
      </c>
      <c r="C4" s="28" t="s">
        <v>11</v>
      </c>
      <c r="D4" s="28" t="s">
        <v>14</v>
      </c>
      <c r="E4" s="28" t="s">
        <v>28</v>
      </c>
      <c r="F4" s="28" t="s">
        <v>126</v>
      </c>
      <c r="G4" s="28" t="s">
        <v>127</v>
      </c>
      <c r="H4" s="28" t="s">
        <v>128</v>
      </c>
    </row>
    <row r="5" spans="1:8" ht="15" customHeight="1">
      <c r="A5" s="4" t="s">
        <v>129</v>
      </c>
      <c r="B5" s="3" t="s">
        <v>130</v>
      </c>
      <c r="C5" s="29">
        <f>Assumptions!C32</f>
        <v>4.9399999999999999E-2</v>
      </c>
      <c r="D5" s="29">
        <f>Assumptions!D32</f>
        <v>0.10489999999999999</v>
      </c>
      <c r="E5" s="29">
        <f>Assumptions!E32</f>
        <v>0.309</v>
      </c>
      <c r="F5" s="30" t="s">
        <v>131</v>
      </c>
      <c r="G5" s="3" t="s">
        <v>132</v>
      </c>
      <c r="H5" s="3" t="s">
        <v>133</v>
      </c>
    </row>
    <row r="6" spans="1:8" ht="15" customHeight="1">
      <c r="A6" s="4" t="s">
        <v>129</v>
      </c>
      <c r="B6" s="3" t="s">
        <v>134</v>
      </c>
      <c r="C6" s="29">
        <f>Assumptions!C33</f>
        <v>8.77E-2</v>
      </c>
      <c r="D6" s="29">
        <f>Assumptions!D33</f>
        <v>0.184</v>
      </c>
      <c r="E6" s="29">
        <f>Assumptions!E33</f>
        <v>0.51500000000000001</v>
      </c>
      <c r="F6" s="30" t="s">
        <v>135</v>
      </c>
      <c r="G6" s="3" t="s">
        <v>132</v>
      </c>
      <c r="H6" s="3" t="s">
        <v>133</v>
      </c>
    </row>
    <row r="7" spans="1:8" ht="15" customHeight="1">
      <c r="A7" s="4" t="s">
        <v>129</v>
      </c>
      <c r="B7" s="3" t="s">
        <v>136</v>
      </c>
      <c r="C7" s="29">
        <f>Assumptions!C53</f>
        <v>0.1</v>
      </c>
      <c r="D7" s="29">
        <f>Assumptions!D53</f>
        <v>0.20499999999999999</v>
      </c>
      <c r="E7" s="29">
        <f>Assumptions!E53</f>
        <v>0.55000000000000004</v>
      </c>
      <c r="F7" s="30" t="s">
        <v>137</v>
      </c>
      <c r="G7" s="3" t="s">
        <v>138</v>
      </c>
      <c r="H7" s="3" t="s">
        <v>139</v>
      </c>
    </row>
    <row r="8" spans="1:8" ht="15" customHeight="1">
      <c r="A8" s="4" t="s">
        <v>129</v>
      </c>
      <c r="B8" s="3" t="s">
        <v>140</v>
      </c>
      <c r="C8" s="29">
        <f>Assumptions!C62</f>
        <v>0.15</v>
      </c>
      <c r="D8" s="29">
        <f>Assumptions!D62</f>
        <v>0.32500000000000001</v>
      </c>
      <c r="E8" s="29">
        <f>Assumptions!E62</f>
        <v>0.8</v>
      </c>
      <c r="F8" s="30" t="s">
        <v>141</v>
      </c>
      <c r="G8" s="3" t="s">
        <v>138</v>
      </c>
      <c r="H8" s="3" t="s">
        <v>142</v>
      </c>
    </row>
    <row r="9" spans="1:8" ht="15" customHeight="1">
      <c r="A9" s="4"/>
      <c r="B9" s="3"/>
      <c r="C9" s="31"/>
      <c r="D9" s="31"/>
      <c r="E9" s="31"/>
      <c r="F9" s="30"/>
      <c r="G9" s="3"/>
      <c r="H9" s="3"/>
    </row>
    <row r="10" spans="1:8" ht="15" customHeight="1">
      <c r="A10" s="4" t="s">
        <v>143</v>
      </c>
      <c r="B10" s="3" t="s">
        <v>130</v>
      </c>
      <c r="C10" s="29">
        <f>Assumptions!C36</f>
        <v>8.2299999999999998E-2</v>
      </c>
      <c r="D10" s="29">
        <f>Assumptions!D36</f>
        <v>0.15890000000000001</v>
      </c>
      <c r="E10" s="29">
        <f>Assumptions!E36</f>
        <v>0.41689999999999999</v>
      </c>
      <c r="F10" s="30" t="s">
        <v>144</v>
      </c>
      <c r="G10" s="3" t="s">
        <v>132</v>
      </c>
      <c r="H10" s="3" t="s">
        <v>133</v>
      </c>
    </row>
    <row r="11" spans="1:8" ht="15" customHeight="1">
      <c r="A11" s="4" t="s">
        <v>143</v>
      </c>
      <c r="B11" s="3" t="s">
        <v>134</v>
      </c>
      <c r="C11" s="29">
        <f>Assumptions!C37</f>
        <v>0.15709999999999999</v>
      </c>
      <c r="D11" s="29">
        <f>Assumptions!D37</f>
        <v>0.307</v>
      </c>
      <c r="E11" s="29">
        <f>Assumptions!E37</f>
        <v>0.78900000000000003</v>
      </c>
      <c r="F11" s="30" t="s">
        <v>145</v>
      </c>
      <c r="G11" s="3" t="s">
        <v>132</v>
      </c>
      <c r="H11" s="3" t="s">
        <v>133</v>
      </c>
    </row>
    <row r="12" spans="1:8" ht="15" customHeight="1">
      <c r="A12" s="4" t="s">
        <v>143</v>
      </c>
      <c r="B12" s="3" t="s">
        <v>136</v>
      </c>
      <c r="C12" s="29">
        <f>Assumptions!C54</f>
        <v>0.19</v>
      </c>
      <c r="D12" s="29">
        <f>Assumptions!D54</f>
        <v>0.37</v>
      </c>
      <c r="E12" s="29">
        <f>Assumptions!E54</f>
        <v>0.95</v>
      </c>
      <c r="F12" s="30" t="s">
        <v>137</v>
      </c>
      <c r="G12" s="3" t="s">
        <v>138</v>
      </c>
      <c r="H12" s="3" t="s">
        <v>139</v>
      </c>
    </row>
    <row r="13" spans="1:8" ht="15" customHeight="1">
      <c r="A13" s="4" t="s">
        <v>143</v>
      </c>
      <c r="B13" s="3" t="s">
        <v>140</v>
      </c>
      <c r="C13" s="29">
        <f>Assumptions!C63</f>
        <v>0.32500000000000001</v>
      </c>
      <c r="D13" s="29">
        <f>Assumptions!D63</f>
        <v>0.65</v>
      </c>
      <c r="E13" s="29">
        <f>Assumptions!E63</f>
        <v>1.5</v>
      </c>
      <c r="F13" s="30" t="s">
        <v>141</v>
      </c>
      <c r="G13" s="3" t="s">
        <v>138</v>
      </c>
      <c r="H13" s="3" t="s">
        <v>142</v>
      </c>
    </row>
    <row r="16" spans="1:8" ht="15" customHeight="1">
      <c r="A16" s="32" t="s">
        <v>146</v>
      </c>
    </row>
    <row r="17" spans="1:4" ht="15" customHeight="1">
      <c r="A17" s="4" t="s">
        <v>147</v>
      </c>
      <c r="B17" s="4" t="s">
        <v>148</v>
      </c>
      <c r="C17" s="4" t="s">
        <v>149</v>
      </c>
      <c r="D17" s="4" t="s">
        <v>104</v>
      </c>
    </row>
    <row r="18" spans="1:4" ht="15" customHeight="1">
      <c r="A18" s="3" t="s">
        <v>150</v>
      </c>
      <c r="B18" s="33">
        <f>1-Assumptions!C32/Assumptions!C33</f>
        <v>0.43671607753705821</v>
      </c>
      <c r="C18" s="33">
        <f>1-Assumptions!C36/Assumptions!C37</f>
        <v>0.47612985359643534</v>
      </c>
      <c r="D18" s="30" t="s">
        <v>151</v>
      </c>
    </row>
    <row r="19" spans="1:4" ht="15" customHeight="1">
      <c r="A19" s="3" t="s">
        <v>136</v>
      </c>
      <c r="B19" s="33">
        <f>1-Assumptions!C32/Assumptions!C53</f>
        <v>0.50600000000000001</v>
      </c>
      <c r="C19" s="33">
        <f>1-Assumptions!C36/Assumptions!C54</f>
        <v>0.56684210526315792</v>
      </c>
      <c r="D19" s="30" t="s">
        <v>152</v>
      </c>
    </row>
    <row r="20" spans="1:4" ht="15" customHeight="1">
      <c r="A20" s="3" t="s">
        <v>140</v>
      </c>
      <c r="B20" s="33">
        <f>1-Assumptions!C32/Assumptions!C62</f>
        <v>0.67066666666666663</v>
      </c>
      <c r="C20" s="33">
        <f>1-Assumptions!C36/Assumptions!C63</f>
        <v>0.74676923076923085</v>
      </c>
      <c r="D20" s="30" t="s">
        <v>152</v>
      </c>
    </row>
  </sheetData>
  <mergeCells count="1">
    <mergeCell ref="A1:H1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"/>
  <sheetViews>
    <sheetView zoomScaleNormal="100" workbookViewId="0"/>
  </sheetViews>
  <sheetFormatPr defaultColWidth="8.7109375" defaultRowHeight="15"/>
  <cols>
    <col min="1" max="1" width="40" customWidth="1"/>
    <col min="2" max="2" width="4" customWidth="1"/>
    <col min="3" max="5" width="20" customWidth="1"/>
    <col min="6" max="6" width="25" customWidth="1"/>
  </cols>
  <sheetData>
    <row r="1" spans="1:6" ht="17.25" customHeight="1">
      <c r="A1" s="73" t="s">
        <v>153</v>
      </c>
      <c r="B1" s="73"/>
      <c r="C1" s="73"/>
      <c r="D1" s="73"/>
      <c r="E1" s="73"/>
      <c r="F1" s="73"/>
    </row>
    <row r="3" spans="1:6" ht="15" customHeight="1">
      <c r="A3" s="32" t="s">
        <v>154</v>
      </c>
    </row>
    <row r="4" spans="1:6" ht="15" customHeight="1">
      <c r="A4" s="14" t="s">
        <v>155</v>
      </c>
      <c r="C4" s="34">
        <f>'Buy-Side Summary'!E15</f>
        <v>23.843128962713795</v>
      </c>
    </row>
    <row r="6" spans="1:6" ht="15" customHeight="1">
      <c r="C6" s="23" t="s">
        <v>156</v>
      </c>
      <c r="D6" s="23" t="s">
        <v>157</v>
      </c>
      <c r="E6" s="23" t="s">
        <v>158</v>
      </c>
    </row>
    <row r="7" spans="1:6" ht="15" customHeight="1">
      <c r="C7" s="1" t="s">
        <v>159</v>
      </c>
      <c r="D7" s="1" t="s">
        <v>160</v>
      </c>
      <c r="E7" s="1" t="s">
        <v>161</v>
      </c>
    </row>
    <row r="8" spans="1:6" ht="15" customHeight="1">
      <c r="A8" s="14" t="s">
        <v>162</v>
      </c>
      <c r="C8" s="35">
        <v>0.05</v>
      </c>
      <c r="D8" s="35">
        <v>0.15</v>
      </c>
      <c r="E8" s="35">
        <v>0.3</v>
      </c>
    </row>
    <row r="9" spans="1:6" ht="15" customHeight="1">
      <c r="A9" s="14" t="s">
        <v>163</v>
      </c>
      <c r="C9" s="35">
        <v>0.1</v>
      </c>
      <c r="D9" s="35">
        <v>0.1</v>
      </c>
      <c r="E9" s="35">
        <v>0.1</v>
      </c>
    </row>
    <row r="10" spans="1:6" ht="15" customHeight="1">
      <c r="A10" s="14" t="s">
        <v>164</v>
      </c>
      <c r="C10" s="35">
        <v>0.7</v>
      </c>
      <c r="D10" s="35">
        <v>0.7</v>
      </c>
      <c r="E10" s="35">
        <v>0.7</v>
      </c>
    </row>
    <row r="12" spans="1:6" ht="15" customHeight="1">
      <c r="A12" s="32" t="s">
        <v>165</v>
      </c>
    </row>
    <row r="13" spans="1:6" ht="15" customHeight="1">
      <c r="A13" s="23" t="s">
        <v>166</v>
      </c>
      <c r="C13" s="36">
        <f>$C$4*C8*C9*C10*1000</f>
        <v>83.450951369498284</v>
      </c>
      <c r="D13" s="36">
        <f>$C$4*D8*D9*D10*1000</f>
        <v>250.35285410849482</v>
      </c>
      <c r="E13" s="36">
        <f>$C$4*E8*E9*E10*1000</f>
        <v>500.70570821698965</v>
      </c>
    </row>
    <row r="15" spans="1:6" ht="15" customHeight="1">
      <c r="A15" s="32" t="s">
        <v>167</v>
      </c>
    </row>
    <row r="16" spans="1:6" ht="15" customHeight="1">
      <c r="A16" s="14" t="s">
        <v>168</v>
      </c>
      <c r="C16" s="37">
        <v>15</v>
      </c>
      <c r="D16" s="38">
        <v>100</v>
      </c>
      <c r="E16" s="38">
        <v>150</v>
      </c>
    </row>
    <row r="17" spans="1:5" ht="15" customHeight="1">
      <c r="A17" s="14" t="s">
        <v>169</v>
      </c>
      <c r="C17" s="37">
        <v>10</v>
      </c>
      <c r="D17" s="38">
        <v>52</v>
      </c>
      <c r="E17" s="38">
        <v>75</v>
      </c>
    </row>
    <row r="18" spans="1:5" ht="15" customHeight="1">
      <c r="A18" s="14" t="s">
        <v>170</v>
      </c>
      <c r="C18" s="37">
        <v>8</v>
      </c>
      <c r="D18" s="38">
        <v>30</v>
      </c>
      <c r="E18" s="38">
        <v>40</v>
      </c>
    </row>
    <row r="19" spans="1:5" ht="15" customHeight="1">
      <c r="A19" s="14" t="s">
        <v>171</v>
      </c>
      <c r="C19" s="37">
        <v>7</v>
      </c>
      <c r="D19" s="38">
        <v>63</v>
      </c>
      <c r="E19" s="38">
        <v>100</v>
      </c>
    </row>
    <row r="20" spans="1:5" ht="15" customHeight="1">
      <c r="A20" s="23" t="s">
        <v>172</v>
      </c>
      <c r="C20" s="39">
        <f>SUM(C16:C19)</f>
        <v>40</v>
      </c>
      <c r="D20" s="39">
        <f>SUM(D16:D19)</f>
        <v>245</v>
      </c>
      <c r="E20" s="39">
        <f>SUM(E16:E19)</f>
        <v>365</v>
      </c>
    </row>
    <row r="22" spans="1:5" ht="15" customHeight="1">
      <c r="A22" s="40" t="s">
        <v>173</v>
      </c>
      <c r="C22" s="36">
        <f>C13+C20</f>
        <v>123.45095136949828</v>
      </c>
      <c r="D22" s="36">
        <f>D13+D20</f>
        <v>495.35285410849485</v>
      </c>
      <c r="E22" s="36">
        <f>E13+E20</f>
        <v>865.70570821698971</v>
      </c>
    </row>
  </sheetData>
  <mergeCells count="1">
    <mergeCell ref="A1:F1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6"/>
  <sheetViews>
    <sheetView zoomScaleNormal="100" workbookViewId="0"/>
  </sheetViews>
  <sheetFormatPr defaultColWidth="8.7109375" defaultRowHeight="15"/>
  <cols>
    <col min="1" max="1" width="45" customWidth="1"/>
    <col min="2" max="2" width="4" customWidth="1"/>
    <col min="3" max="3" width="20" customWidth="1"/>
    <col min="4" max="4" width="16" customWidth="1"/>
    <col min="5" max="5" width="35" customWidth="1"/>
  </cols>
  <sheetData>
    <row r="1" spans="1:5" ht="17.25" customHeight="1">
      <c r="A1" s="73" t="s">
        <v>174</v>
      </c>
      <c r="B1" s="73"/>
      <c r="C1" s="73"/>
      <c r="D1" s="73"/>
      <c r="E1" s="73"/>
    </row>
    <row r="3" spans="1:5" ht="15" customHeight="1">
      <c r="A3" s="32" t="s">
        <v>175</v>
      </c>
      <c r="C3" s="23" t="s">
        <v>50</v>
      </c>
      <c r="D3" s="23" t="s">
        <v>51</v>
      </c>
      <c r="E3" s="23" t="s">
        <v>176</v>
      </c>
    </row>
    <row r="4" spans="1:5" ht="15" customHeight="1">
      <c r="A4" s="14" t="s">
        <v>177</v>
      </c>
      <c r="C4" s="41">
        <f>Assumptions!C6</f>
        <v>14.7</v>
      </c>
      <c r="D4" s="14" t="s">
        <v>54</v>
      </c>
      <c r="E4" s="1" t="s">
        <v>178</v>
      </c>
    </row>
    <row r="5" spans="1:5" ht="15" customHeight="1">
      <c r="A5" s="14" t="s">
        <v>97</v>
      </c>
      <c r="C5" s="42">
        <f>Assumptions!C43</f>
        <v>4.6695000000000005E-4</v>
      </c>
      <c r="D5" s="14"/>
      <c r="E5" s="1" t="s">
        <v>178</v>
      </c>
    </row>
    <row r="6" spans="1:5" ht="15" customHeight="1">
      <c r="A6" s="14" t="s">
        <v>179</v>
      </c>
      <c r="C6" s="43">
        <v>0.5</v>
      </c>
      <c r="D6" s="14"/>
      <c r="E6" s="1" t="s">
        <v>180</v>
      </c>
    </row>
    <row r="8" spans="1:5" ht="15" customHeight="1">
      <c r="A8" s="32" t="s">
        <v>181</v>
      </c>
    </row>
    <row r="9" spans="1:5" ht="15" customHeight="1">
      <c r="A9" s="14" t="s">
        <v>182</v>
      </c>
      <c r="C9" s="44">
        <f>C4*C5*1000</f>
        <v>6.8641649999999998</v>
      </c>
    </row>
    <row r="10" spans="1:5" ht="15" customHeight="1">
      <c r="A10" s="14" t="s">
        <v>183</v>
      </c>
      <c r="C10" s="44">
        <f>C9*C6</f>
        <v>3.4320824999999999</v>
      </c>
    </row>
    <row r="12" spans="1:5" ht="15" customHeight="1">
      <c r="A12" s="40" t="s">
        <v>184</v>
      </c>
      <c r="C12" s="45">
        <f>C10</f>
        <v>3.4320824999999999</v>
      </c>
    </row>
    <row r="14" spans="1:5" ht="15" customHeight="1">
      <c r="A14" s="32" t="s">
        <v>185</v>
      </c>
    </row>
    <row r="15" spans="1:5" ht="15" customHeight="1">
      <c r="A15" s="1" t="s">
        <v>186</v>
      </c>
    </row>
    <row r="16" spans="1:5" ht="15" customHeight="1">
      <c r="A16" s="1" t="s">
        <v>187</v>
      </c>
    </row>
  </sheetData>
  <mergeCells count="1">
    <mergeCell ref="A1:E1"/>
  </mergeCell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5"/>
  <sheetViews>
    <sheetView zoomScaleNormal="100" workbookViewId="0"/>
  </sheetViews>
  <sheetFormatPr defaultColWidth="8.7109375" defaultRowHeight="15"/>
  <cols>
    <col min="1" max="1" width="45" customWidth="1"/>
    <col min="2" max="2" width="4" customWidth="1"/>
    <col min="3" max="3" width="20" customWidth="1"/>
    <col min="4" max="4" width="16" customWidth="1"/>
    <col min="5" max="5" width="35" customWidth="1"/>
  </cols>
  <sheetData>
    <row r="1" spans="1:5" ht="17.25" customHeight="1">
      <c r="A1" s="73" t="s">
        <v>188</v>
      </c>
      <c r="B1" s="73"/>
      <c r="C1" s="73"/>
      <c r="D1" s="73"/>
      <c r="E1" s="73"/>
    </row>
    <row r="3" spans="1:5" ht="15" customHeight="1">
      <c r="A3" s="32" t="s">
        <v>175</v>
      </c>
      <c r="C3" s="23" t="s">
        <v>50</v>
      </c>
      <c r="D3" s="23" t="s">
        <v>51</v>
      </c>
      <c r="E3" s="23" t="s">
        <v>176</v>
      </c>
    </row>
    <row r="4" spans="1:5" ht="15" customHeight="1">
      <c r="A4" s="14" t="s">
        <v>177</v>
      </c>
      <c r="C4" s="41">
        <f>Assumptions!C6</f>
        <v>14.7</v>
      </c>
      <c r="D4" s="14" t="s">
        <v>54</v>
      </c>
      <c r="E4" s="1" t="s">
        <v>178</v>
      </c>
    </row>
    <row r="5" spans="1:5" ht="15" customHeight="1">
      <c r="A5" s="14" t="s">
        <v>97</v>
      </c>
      <c r="C5" s="42">
        <f>Assumptions!C43</f>
        <v>4.6695000000000005E-4</v>
      </c>
      <c r="D5" s="14"/>
      <c r="E5" s="1" t="s">
        <v>178</v>
      </c>
    </row>
    <row r="6" spans="1:5" ht="15" customHeight="1">
      <c r="A6" s="14" t="s">
        <v>189</v>
      </c>
      <c r="C6" s="43">
        <v>0.5</v>
      </c>
      <c r="D6" s="14"/>
      <c r="E6" s="1" t="s">
        <v>180</v>
      </c>
    </row>
    <row r="8" spans="1:5" ht="15" customHeight="1">
      <c r="A8" s="32" t="s">
        <v>181</v>
      </c>
    </row>
    <row r="9" spans="1:5" ht="15" customHeight="1">
      <c r="A9" s="14" t="s">
        <v>182</v>
      </c>
      <c r="C9" s="44">
        <f>C4*C5*1000</f>
        <v>6.8641649999999998</v>
      </c>
    </row>
    <row r="10" spans="1:5" ht="15" customHeight="1">
      <c r="A10" s="14" t="s">
        <v>190</v>
      </c>
      <c r="C10" s="44">
        <f>C9*C6</f>
        <v>3.4320824999999999</v>
      </c>
    </row>
    <row r="12" spans="1:5" ht="15" customHeight="1">
      <c r="A12" s="40" t="s">
        <v>191</v>
      </c>
      <c r="C12" s="45">
        <f>C10</f>
        <v>3.4320824999999999</v>
      </c>
    </row>
    <row r="14" spans="1:5" ht="15" customHeight="1">
      <c r="A14" s="32" t="s">
        <v>185</v>
      </c>
    </row>
    <row r="15" spans="1:5" ht="15" customHeight="1">
      <c r="A15" s="1" t="s">
        <v>192</v>
      </c>
    </row>
  </sheetData>
  <mergeCells count="1">
    <mergeCell ref="A1:E1"/>
  </mergeCell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8"/>
  <sheetViews>
    <sheetView zoomScaleNormal="100" workbookViewId="0"/>
  </sheetViews>
  <sheetFormatPr defaultColWidth="8.7109375" defaultRowHeight="15"/>
  <cols>
    <col min="1" max="1" width="45" customWidth="1"/>
    <col min="2" max="2" width="4" customWidth="1"/>
    <col min="3" max="3" width="20" customWidth="1"/>
    <col min="4" max="4" width="16" customWidth="1"/>
    <col min="5" max="5" width="35" customWidth="1"/>
  </cols>
  <sheetData>
    <row r="1" spans="1:5" ht="17.25" customHeight="1">
      <c r="A1" s="73" t="s">
        <v>193</v>
      </c>
      <c r="B1" s="73"/>
      <c r="C1" s="73"/>
      <c r="D1" s="73"/>
      <c r="E1" s="73"/>
    </row>
    <row r="3" spans="1:5" ht="15" customHeight="1">
      <c r="A3" s="32" t="s">
        <v>175</v>
      </c>
      <c r="C3" s="23" t="s">
        <v>50</v>
      </c>
      <c r="D3" s="23" t="s">
        <v>51</v>
      </c>
      <c r="E3" s="23" t="s">
        <v>176</v>
      </c>
    </row>
    <row r="4" spans="1:5" ht="15" customHeight="1">
      <c r="A4" s="14" t="s">
        <v>194</v>
      </c>
      <c r="C4" s="41">
        <f>Assumptions!C18</f>
        <v>7.6</v>
      </c>
      <c r="D4" s="14" t="s">
        <v>66</v>
      </c>
      <c r="E4" s="1" t="s">
        <v>178</v>
      </c>
    </row>
    <row r="5" spans="1:5" ht="15" customHeight="1">
      <c r="A5" s="14" t="s">
        <v>195</v>
      </c>
      <c r="C5" s="46">
        <v>0.15</v>
      </c>
      <c r="D5" s="14"/>
      <c r="E5" s="1" t="s">
        <v>196</v>
      </c>
    </row>
    <row r="6" spans="1:5" ht="15" customHeight="1">
      <c r="A6" s="14" t="s">
        <v>197</v>
      </c>
      <c r="C6" s="46">
        <v>0.125</v>
      </c>
      <c r="D6" s="14"/>
      <c r="E6" s="1" t="s">
        <v>198</v>
      </c>
    </row>
    <row r="7" spans="1:5" ht="15" customHeight="1">
      <c r="A7" s="14" t="s">
        <v>199</v>
      </c>
      <c r="C7" s="47">
        <v>1.5</v>
      </c>
      <c r="D7" s="14" t="s">
        <v>200</v>
      </c>
      <c r="E7" s="1" t="s">
        <v>201</v>
      </c>
    </row>
    <row r="9" spans="1:5" ht="15" customHeight="1">
      <c r="A9" s="32" t="s">
        <v>181</v>
      </c>
    </row>
    <row r="10" spans="1:5" ht="15" customHeight="1">
      <c r="A10" s="14" t="s">
        <v>202</v>
      </c>
      <c r="C10" s="44">
        <f>C4*C5</f>
        <v>1.1399999999999999</v>
      </c>
    </row>
    <row r="11" spans="1:5" ht="15" customHeight="1">
      <c r="A11" s="14" t="s">
        <v>203</v>
      </c>
      <c r="C11" s="44">
        <f>C4*C6</f>
        <v>0.95</v>
      </c>
    </row>
    <row r="12" spans="1:5" ht="15" customHeight="1">
      <c r="A12" s="14" t="s">
        <v>204</v>
      </c>
      <c r="C12" s="44">
        <f>C11*C7</f>
        <v>1.4249999999999998</v>
      </c>
    </row>
    <row r="14" spans="1:5" ht="15" customHeight="1">
      <c r="A14" s="40" t="s">
        <v>205</v>
      </c>
      <c r="C14" s="45">
        <f>C12</f>
        <v>1.4249999999999998</v>
      </c>
    </row>
    <row r="16" spans="1:5" ht="15" customHeight="1">
      <c r="A16" s="32" t="s">
        <v>185</v>
      </c>
    </row>
    <row r="17" spans="1:1" ht="15" customHeight="1">
      <c r="A17" s="1" t="s">
        <v>206</v>
      </c>
    </row>
    <row r="18" spans="1:1" ht="15" customHeight="1">
      <c r="A18" s="1" t="s">
        <v>207</v>
      </c>
    </row>
  </sheetData>
  <mergeCells count="1">
    <mergeCell ref="A1:E1"/>
  </mergeCells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8"/>
  <sheetViews>
    <sheetView zoomScaleNormal="100" workbookViewId="0"/>
  </sheetViews>
  <sheetFormatPr defaultColWidth="8.7109375" defaultRowHeight="15"/>
  <cols>
    <col min="1" max="1" width="45" customWidth="1"/>
    <col min="2" max="2" width="4" customWidth="1"/>
    <col min="3" max="3" width="20" customWidth="1"/>
    <col min="4" max="4" width="16" customWidth="1"/>
    <col min="5" max="5" width="35" customWidth="1"/>
  </cols>
  <sheetData>
    <row r="1" spans="1:5" ht="17.25" customHeight="1">
      <c r="A1" s="73" t="s">
        <v>208</v>
      </c>
      <c r="B1" s="73"/>
      <c r="C1" s="73"/>
      <c r="D1" s="73"/>
      <c r="E1" s="73"/>
    </row>
    <row r="3" spans="1:5" ht="15" customHeight="1">
      <c r="A3" s="32" t="s">
        <v>175</v>
      </c>
      <c r="C3" s="23" t="s">
        <v>50</v>
      </c>
      <c r="D3" s="23" t="s">
        <v>51</v>
      </c>
      <c r="E3" s="23" t="s">
        <v>176</v>
      </c>
    </row>
    <row r="4" spans="1:5" ht="15" customHeight="1">
      <c r="A4" s="14" t="s">
        <v>209</v>
      </c>
      <c r="C4" s="48">
        <f>Assumptions!C19</f>
        <v>294</v>
      </c>
      <c r="D4" s="14" t="s">
        <v>66</v>
      </c>
      <c r="E4" s="1" t="s">
        <v>178</v>
      </c>
    </row>
    <row r="5" spans="1:5" ht="15" customHeight="1">
      <c r="A5" s="14" t="s">
        <v>72</v>
      </c>
      <c r="C5" s="49">
        <f>Assumptions!C21</f>
        <v>0.02</v>
      </c>
      <c r="D5" s="14"/>
      <c r="E5" s="1" t="s">
        <v>178</v>
      </c>
    </row>
    <row r="6" spans="1:5" ht="15" customHeight="1">
      <c r="A6" s="14" t="s">
        <v>210</v>
      </c>
      <c r="C6" s="44">
        <f>C4*C5</f>
        <v>5.88</v>
      </c>
      <c r="D6" s="14" t="s">
        <v>66</v>
      </c>
    </row>
    <row r="7" spans="1:5" ht="15" customHeight="1">
      <c r="A7" s="14" t="s">
        <v>211</v>
      </c>
      <c r="C7" s="50">
        <v>0.34</v>
      </c>
      <c r="D7" s="14"/>
      <c r="E7" s="1" t="s">
        <v>212</v>
      </c>
    </row>
    <row r="8" spans="1:5" ht="15" customHeight="1">
      <c r="A8" s="14"/>
      <c r="C8" s="47"/>
      <c r="D8" s="14"/>
      <c r="E8" s="1"/>
    </row>
    <row r="10" spans="1:5" ht="15" customHeight="1">
      <c r="A10" s="32" t="s">
        <v>181</v>
      </c>
    </row>
    <row r="11" spans="1:5" ht="15" customHeight="1">
      <c r="A11" s="14" t="s">
        <v>213</v>
      </c>
      <c r="C11" s="44">
        <f>C6*C7</f>
        <v>1.9992000000000001</v>
      </c>
    </row>
    <row r="12" spans="1:5" ht="15" customHeight="1">
      <c r="A12" s="14"/>
      <c r="C12" s="44"/>
    </row>
    <row r="14" spans="1:5" ht="15" customHeight="1">
      <c r="A14" s="40" t="s">
        <v>214</v>
      </c>
      <c r="C14" s="51">
        <f>C11</f>
        <v>1.9992000000000001</v>
      </c>
    </row>
    <row r="16" spans="1:5" ht="15" customHeight="1">
      <c r="A16" s="32" t="s">
        <v>185</v>
      </c>
    </row>
    <row r="17" spans="1:1" ht="15" customHeight="1">
      <c r="A17" s="1" t="s">
        <v>215</v>
      </c>
    </row>
    <row r="18" spans="1:1" ht="15" customHeight="1">
      <c r="A18" s="1" t="s">
        <v>216</v>
      </c>
    </row>
  </sheetData>
  <mergeCells count="1">
    <mergeCell ref="A1:E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>1</cp:revision>
  <dcterms:created xsi:type="dcterms:W3CDTF">2026-02-12T14:38:57Z</dcterms:created>
  <dcterms:modified xsi:type="dcterms:W3CDTF">2026-02-17T15:17:34Z</dcterms:modified>
  <cp:category/>
  <cp:contentStatus/>
</cp:coreProperties>
</file>