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BS Case Studies" sheetId="1" state="visible" r:id="rId3"/>
    <sheet name="SS Case Studies" sheetId="2" state="visible" r:id="rId4"/>
    <sheet name="Buy-Side Summary" sheetId="3" state="visible" r:id="rId5"/>
    <sheet name="Sell-Side Summary" sheetId="4" state="visible" r:id="rId6"/>
    <sheet name="Assumptions" sheetId="5" state="visible" r:id="rId7"/>
    <sheet name="Competitive Comparison" sheetId="6" state="visible" r:id="rId8"/>
    <sheet name="Addressable Revenue" sheetId="7" state="visible" r:id="rId9"/>
    <sheet name="SS1-Unprofit Trades" sheetId="8" state="visible" r:id="rId10"/>
    <sheet name="SS2-Capturing Trades" sheetId="9" state="visible" r:id="rId11"/>
    <sheet name="SS3-Competition" sheetId="10" state="visible" r:id="rId12"/>
    <sheet name="SS4-Inventory Risk" sheetId="11" state="visible" r:id="rId13"/>
    <sheet name="SS5-Oper Efficiencies" sheetId="12" state="visible" r:id="rId14"/>
    <sheet name="BS1-Trading Losses" sheetId="13" state="visible" r:id="rId15"/>
    <sheet name="BS2-Hedging Costs" sheetId="14" state="visible" r:id="rId16"/>
    <sheet name="BS3-Alpha Generation" sheetId="15" state="visible" r:id="rId17"/>
    <sheet name="BS4-MtM Volatility" sheetId="16" state="visible" r:id="rId18"/>
    <sheet name="BS5-Opportunity Costs" sheetId="17" state="visible" r:id="rId19"/>
    <sheet name="BS6-Perf Attribution" sheetId="18" state="visible" r:id="rId20"/>
    <sheet name="BS7-Portfolio Optim" sheetId="19" state="visible" r:id="rId21"/>
    <sheet name="BS8-Regulatory" sheetId="20" state="visible" r:id="rId2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<sst xmlns="http://schemas.openxmlformats.org/spreadsheetml/2006/main" count="953" uniqueCount="534">
  <si>
    <t xml:space="preserve">Buy-Side Case Studies: Fund-Level Benefits by Size and Turnover</t>
  </si>
  <si>
    <t xml:space="preserve">Benefits derived from industry rates × fund base (traded vol or AUM). ICE/BQ multipliers vary by error metric percentile.</t>
  </si>
  <si>
    <t xml:space="preserve">FUND PROFILE DEFINITIONS</t>
  </si>
  <si>
    <t xml:space="preserve">Profile</t>
  </si>
  <si>
    <t xml:space="preserve">AUM ($M)</t>
  </si>
  <si>
    <t xml:space="preserve">Turnover</t>
  </si>
  <si>
    <t xml:space="preserve">Traded Vol ($M)</t>
  </si>
  <si>
    <t xml:space="preserve">Archetype</t>
  </si>
  <si>
    <t xml:space="preserve">Small / Low</t>
  </si>
  <si>
    <t xml:space="preserve">Insurance sub-portfolio</t>
  </si>
  <si>
    <t xml:space="preserve">Small / Medium</t>
  </si>
  <si>
    <t xml:space="preserve">Boutique active manager</t>
  </si>
  <si>
    <t xml:space="preserve">Small / High</t>
  </si>
  <si>
    <t xml:space="preserve">Quant credit fund</t>
  </si>
  <si>
    <t xml:space="preserve">Medium / Low</t>
  </si>
  <si>
    <t xml:space="preserve">Pension LDI mandate</t>
  </si>
  <si>
    <t xml:space="preserve">Medium / Medium</t>
  </si>
  <si>
    <t xml:space="preserve">Active core-plus</t>
  </si>
  <si>
    <t xml:space="preserve">Medium / High</t>
  </si>
  <si>
    <t xml:space="preserve">Systematic credit</t>
  </si>
  <si>
    <t xml:space="preserve">Large / Low</t>
  </si>
  <si>
    <t xml:space="preserve">Index-aware IG</t>
  </si>
  <si>
    <t xml:space="preserve">Large / Medium</t>
  </si>
  <si>
    <t xml:space="preserve">Large active multi-sector</t>
  </si>
  <si>
    <t xml:space="preserve">Large / High</t>
  </si>
  <si>
    <t xml:space="preserve">Mega quant platform</t>
  </si>
  <si>
    <t xml:space="preserve">PERCENTILE-SPECIFIC ICE &amp; BQ MULTIPLIERS</t>
  </si>
  <si>
    <t xml:space="preserve">Derived from Assumptions tab. Weighted 80% IG / 20% HY.</t>
  </si>
  <si>
    <t xml:space="preserve">Error Metric</t>
  </si>
  <si>
    <t xml:space="preserve">CP+ Wtd Err Red (%)</t>
  </si>
  <si>
    <t xml:space="preserve">ICE Wtd Err Red (%)</t>
  </si>
  <si>
    <t xml:space="preserve">BQ Wtd Err Red (%)</t>
  </si>
  <si>
    <t xml:space="preserve">ICE Mult</t>
  </si>
  <si>
    <t xml:space="preserve">BQ Mult</t>
  </si>
  <si>
    <t xml:space="preserve">Median</t>
  </si>
  <si>
    <t xml:space="preserve">75th Percentile</t>
  </si>
  <si>
    <t xml:space="preserve">95th Percentile</t>
  </si>
  <si>
    <t xml:space="preserve">BS2 Hedging (own derivation)</t>
  </si>
  <si>
    <t xml:space="preserve">BENEFIT RATES (vs CP+)</t>
  </si>
  <si>
    <t xml:space="preserve">Category</t>
  </si>
  <si>
    <t xml:space="preserve">Base</t>
  </si>
  <si>
    <t xml:space="preserve">Rate (bps)</t>
  </si>
  <si>
    <t xml:space="preserve">Industry ($B)</t>
  </si>
  <si>
    <t xml:space="preserve">Direct Trading Losses</t>
  </si>
  <si>
    <t xml:space="preserve">traded</t>
  </si>
  <si>
    <t xml:space="preserve">Suboptimal Hedging</t>
  </si>
  <si>
    <t xml:space="preserve">aum</t>
  </si>
  <si>
    <t xml:space="preserve">75th Pctl</t>
  </si>
  <si>
    <t xml:space="preserve">Alpha Generation</t>
  </si>
  <si>
    <t xml:space="preserve">MtM &amp; P&amp;L Volatility</t>
  </si>
  <si>
    <t xml:space="preserve">Opportunity Costs</t>
  </si>
  <si>
    <t xml:space="preserve">Perf. Attribution</t>
  </si>
  <si>
    <t xml:space="preserve">Portfolio Optimization</t>
  </si>
  <si>
    <t xml:space="preserve">Regulatory &amp; Compliance</t>
  </si>
  <si>
    <t xml:space="preserve">95th Pctl</t>
  </si>
  <si>
    <t xml:space="preserve">Small Fund ($500M AUM)</t>
  </si>
  <si>
    <t xml:space="preserve">Low vs CP+</t>
  </si>
  <si>
    <t xml:space="preserve">Med vs CP+</t>
  </si>
  <si>
    <t xml:space="preserve">High vs CP+</t>
  </si>
  <si>
    <t xml:space="preserve">Med vs ICE</t>
  </si>
  <si>
    <t xml:space="preserve">Med vs BCliQ</t>
  </si>
  <si>
    <t xml:space="preserve">TOTAL</t>
  </si>
  <si>
    <t xml:space="preserve">bps on Traded Vol</t>
  </si>
  <si>
    <t xml:space="preserve">bps on AUM</t>
  </si>
  <si>
    <t xml:space="preserve">Combined bps on AUM</t>
  </si>
  <si>
    <t xml:space="preserve">Medium Fund ($5B AUM)</t>
  </si>
  <si>
    <t xml:space="preserve">Large Fund ($50B AUM)</t>
  </si>
  <si>
    <t xml:space="preserve">CASE STUDY NARRATIVE SUMMARIES (from benefits document)</t>
  </si>
  <si>
    <t xml:space="preserve">Each case study selects one fund profile to show exact mechanics and math.</t>
  </si>
  <si>
    <t xml:space="preserve">CS1: Direct Trading Losses</t>
  </si>
  <si>
    <t xml:space="preserve">Medium/Med ($5B, 100%)</t>
  </si>
  <si>
    <t xml:space="preserve">$1.5M</t>
  </si>
  <si>
    <t xml:space="preserve">PM limits RFQ to 1 dealer on $8M BBB block. CP+ error ($0.088) cannot resolve if bid is fair. Deep MM ($0.049) identifies 13¢ below FV; PM negotiates up 5¢, saves $4K. × 2,000 trades × $2.5M avg × 3.0bp = $1.5M/yr.</t>
  </si>
  <si>
    <t xml:space="preserve">CS2: Suboptimal Hedging</t>
  </si>
  <si>
    <t xml:space="preserve">Large/Low ($50B, 30%)</t>
  </si>
  <si>
    <t xml:space="preserve">$6.4M vs CP+; $8.7M vs ICE</t>
  </si>
  <si>
    <t xml:space="preserve">$40B IG + $10B HY. CP+ 75th improvement = $46.4M. ICE marginal rate: $3.75B/$27.3B = 13.7%. Savings: $46.4M × 13.7% = $6.4M.</t>
  </si>
  <si>
    <t xml:space="preserve">CS3: Alpha Generation</t>
  </si>
  <si>
    <t xml:space="preserve">$1.6M</t>
  </si>
  <si>
    <t xml:space="preserve">42% pricing improvement × 50% usable = 21% SNR gain. 45bp base × 21% = 9.5bp gross × 33% capture = 3.1bp net. $5B × 3.1bp = $1.6M.</t>
  </si>
  <si>
    <t xml:space="preserve">CS4: MtM &amp; P&amp;L Volatility</t>
  </si>
  <si>
    <t xml:space="preserve">Large/Med ($50B, 100%)</t>
  </si>
  <si>
    <t xml:space="preserve">$3.7M</t>
  </si>
  <si>
    <t xml:space="preserve">$50B×80%×(0.0383/100)+$50B×20%×(0.0748/100)=$22.8M noise. Fund share ($50B/$11.5T=0.43%)×$850M=$3.7M.</t>
  </si>
  <si>
    <t xml:space="preserve">CS5: Opportunity Costs</t>
  </si>
  <si>
    <t xml:space="preserve">Small/Med ($500M, 100%)</t>
  </si>
  <si>
    <t xml:space="preserve">~$40K</t>
  </si>
  <si>
    <t xml:space="preserve">CP+ 75th interval ±$0.16 too wide → PM passes on $3M trade. Deep MM ±$0.10 → executes. 6% IG+15% HY suppression, 42-47% recovery.</t>
  </si>
  <si>
    <t xml:space="preserve">CS6: Perf Attribution</t>
  </si>
  <si>
    <t xml:space="preserve">$2.2M</t>
  </si>
  <si>
    <t xml:space="preserve">Pricing noise credits PM 3 or 7bp instead of true 5bp. CS4 noise ($22.8M)×10% attribution factor=$2.2M.</t>
  </si>
  <si>
    <t xml:space="preserve">CS7: Portfolio Optimization</t>
  </si>
  <si>
    <t xml:space="preserve">Medium/High ($5B, 300%)</t>
  </si>
  <si>
    <t xml:space="preserve">$510K</t>
  </si>
  <si>
    <t xml:space="preserve">$15B×12.5% affected=$1.875B×36bp=$6.75M×25% reduction=$1.69M×30% adoption=$510K.</t>
  </si>
  <si>
    <t xml:space="preserve">CS8: Regulatory &amp; Compliance</t>
  </si>
  <si>
    <t xml:space="preserve">$0.8M</t>
  </si>
  <si>
    <t xml:space="preserve">3,000 CUSIPs audited. CP+ 95th errors trigger 5-10% exceptions. Deep MM reduces ~40%.×1.5x convexity=$0.8M.</t>
  </si>
  <si>
    <t xml:space="preserve">Sell-Side Case Studies: Dealer-Level Benefits by Market Share</t>
  </si>
  <si>
    <t xml:space="preserve">Benefits from industry totals allocated by dealer volume share, with SS3 tier adjustment. Shares from Bloomberg league tables (2024 YTD).</t>
  </si>
  <si>
    <t xml:space="preserve">DEALER PROFILES</t>
  </si>
  <si>
    <t xml:space="preserve">Dealer</t>
  </si>
  <si>
    <t xml:space="preserve">Tier</t>
  </si>
  <si>
    <t xml:space="preserve">IG Mkt Share</t>
  </si>
  <si>
    <t xml:space="preserve">HY Mkt Share</t>
  </si>
  <si>
    <t xml:space="preserve">IG Vol ($B)</t>
  </si>
  <si>
    <t xml:space="preserve">HY Vol ($B)</t>
  </si>
  <si>
    <t xml:space="preserve">Total Vol ($B)</t>
  </si>
  <si>
    <t xml:space="preserve">Vol Share of Mkt</t>
  </si>
  <si>
    <t xml:space="preserve">JP Morgan</t>
  </si>
  <si>
    <t xml:space="preserve">Bulge Bracket</t>
  </si>
  <si>
    <t xml:space="preserve">BofA Securities</t>
  </si>
  <si>
    <t xml:space="preserve">Citi</t>
  </si>
  <si>
    <t xml:space="preserve">Barclays</t>
  </si>
  <si>
    <t xml:space="preserve">Mid-Bulge</t>
  </si>
  <si>
    <t xml:space="preserve">Deutsche Bank</t>
  </si>
  <si>
    <t xml:space="preserve">Mid-Tier</t>
  </si>
  <si>
    <t xml:space="preserve">Jefferies</t>
  </si>
  <si>
    <t xml:space="preserve">Regional/Specialty</t>
  </si>
  <si>
    <t xml:space="preserve">INDUSTRY SELL-SIDE BENEFIT TOTALS (from detail tabs)</t>
  </si>
  <si>
    <t xml:space="preserve">Industry vs CP+ ($B)</t>
  </si>
  <si>
    <t xml:space="preserve">Preventing Unprofitable Trades</t>
  </si>
  <si>
    <t xml:space="preserve">traded vol</t>
  </si>
  <si>
    <t xml:space="preserve">Wtd Median</t>
  </si>
  <si>
    <t xml:space="preserve">Capturing New Trades</t>
  </si>
  <si>
    <t xml:space="preserve">Enhanced Competition</t>
  </si>
  <si>
    <t xml:space="preserve">dealer rev</t>
  </si>
  <si>
    <t xml:space="preserve">Independent</t>
  </si>
  <si>
    <t xml:space="preserve">Inventory &amp; Risk Management</t>
  </si>
  <si>
    <t xml:space="preserve">inventory</t>
  </si>
  <si>
    <t xml:space="preserve">Operational Efficiencies</t>
  </si>
  <si>
    <t xml:space="preserve">TOTAL SELL-SIDE</t>
  </si>
  <si>
    <t xml:space="preserve">SS3 ENHANCED COMPETITION: TIER ADJUSTMENT</t>
  </si>
  <si>
    <t xml:space="preserve">Smaller dealers over-index on competitive gains; bulge brackets under-index. See benefits document for derivation.</t>
  </si>
  <si>
    <t xml:space="preserve">SS3 Multiplier</t>
  </si>
  <si>
    <t xml:space="preserve">Rationale</t>
  </si>
  <si>
    <t xml:space="preserve">Net donor of share; existing info advantage eroded</t>
  </si>
  <si>
    <t xml:space="preserve">Neutral; gains and losses roughly offset</t>
  </si>
  <si>
    <t xml:space="preserve">Moderate uplift from leveled playing field</t>
  </si>
  <si>
    <t xml:space="preserve">Outsized gain; pricing accuracy closes gap with larger desks</t>
  </si>
  <si>
    <t xml:space="preserve">Volume share:</t>
  </si>
  <si>
    <t xml:space="preserve">SS3 adj: Bulge Bracket</t>
  </si>
  <si>
    <t xml:space="preserve">vs CP+</t>
  </si>
  <si>
    <t xml:space="preserve">vs ICE</t>
  </si>
  <si>
    <t xml:space="preserve">vs BCliQ</t>
  </si>
  <si>
    <t xml:space="preserve">Dealer Base Revenue (est.)</t>
  </si>
  <si>
    <t xml:space="preserve">Benefit as % of Base Rev</t>
  </si>
  <si>
    <t xml:space="preserve">Max Deep MM Rev (10% capture)</t>
  </si>
  <si>
    <t xml:space="preserve">SS3 adj: Mid-Bulge</t>
  </si>
  <si>
    <t xml:space="preserve">SS3 adj: Mid-Tier</t>
  </si>
  <si>
    <t xml:space="preserve">SS3 adj: Regional/Specialty</t>
  </si>
  <si>
    <t xml:space="preserve">DEALER COMPARISON SUMMARY</t>
  </si>
  <si>
    <t xml:space="preserve">Metric</t>
  </si>
  <si>
    <t xml:space="preserve">Total Benefit vs CP+</t>
  </si>
  <si>
    <t xml:space="preserve">Total Benefit vs ICE</t>
  </si>
  <si>
    <t xml:space="preserve">Total Benefit vs BCliQ</t>
  </si>
  <si>
    <t xml:space="preserve">Benefit % of Base Rev (CP+)</t>
  </si>
  <si>
    <t xml:space="preserve">Max Deep MM Rev (CP+)</t>
  </si>
  <si>
    <t xml:space="preserve">NOTES ON SELL-SIDE BENEFIT ALLOCATION</t>
  </si>
  <si>
    <t xml:space="preserve">SS1 &amp; SS2 scale linearly with dealer traded volume (50/50 split of total pricing error reduction).</t>
  </si>
  <si>
    <t xml:space="preserve">SS3 (Enhanced Competition): Tier-adjusted. Smaller dealers over-index (2.5x) because improved pricing levels the informational playing field; bulge brackets under-index (0.5x) as net share donors. See benefits document for full derivation.</t>
  </si>
  <si>
    <t xml:space="preserve">SS4 (Inventory &amp; Risk): Allocated by volume share as proxy for inventory holdings.</t>
  </si>
  <si>
    <t xml:space="preserve">SS5 (Operational Efficiencies): Scales with traded volume via reduced disputes and settlement failures.</t>
  </si>
  <si>
    <t xml:space="preserve">ICE/BQ multipliers vary by percentile: median for SS1-3, 75th for SS4, 95th for SS5.</t>
  </si>
  <si>
    <t xml:space="preserve">Base revenue: 6 bps IG + 10 bps HY dealer spread (consistent with Bloomberg league table conventions).</t>
  </si>
  <si>
    <t xml:space="preserve">SS3 tier multipliers are adjustable (yellow cells). Calibrated so weighted sum approximates industry total; see benefits document for conservative rationale.</t>
  </si>
  <si>
    <t xml:space="preserve">Buy-Side P&amp;L Benefits from Improved Pricing Accuracy</t>
  </si>
  <si>
    <t xml:space="preserve">Notes: Benefits include conversion factors applied in each detail tab. Blue cells adjustable on detail tabs.</t>
  </si>
  <si>
    <t xml:space="preserve">#</t>
  </si>
  <si>
    <t xml:space="preserve">Dealer Benefit</t>
  </si>
  <si>
    <t xml:space="preserve">Description</t>
  </si>
  <si>
    <t xml:space="preserve">P&amp;L vs CP+ ($B)</t>
  </si>
  <si>
    <t xml:space="preserve">vs ICE CEP ($B)</t>
  </si>
  <si>
    <t xml:space="preserve">vs BondCliQ ($B)</t>
  </si>
  <si>
    <t xml:space="preserve">Reduces slippage on executed trades</t>
  </si>
  <si>
    <t xml:space="preserve">Suboptimal Hedging &amp; Risk</t>
  </si>
  <si>
    <t xml:space="preserve">Lowers excess hedging costs</t>
  </si>
  <si>
    <t xml:space="preserve">Better signal quality for rel value</t>
  </si>
  <si>
    <t xml:space="preserve">Stabilizes portfolio valuations</t>
  </si>
  <si>
    <t xml:space="preserve">Unlocks suppressed trades</t>
  </si>
  <si>
    <t xml:space="preserve">Performance Attribution</t>
  </si>
  <si>
    <t xml:space="preserve">Accurate return decomposition</t>
  </si>
  <si>
    <t xml:space="preserve">Liquidity-aware construction</t>
  </si>
  <si>
    <t xml:space="preserve">Mixed</t>
  </si>
  <si>
    <t xml:space="preserve">Fewer audit triggers, restatements</t>
  </si>
  <si>
    <t xml:space="preserve">TOTAL BUY-SIDE</t>
  </si>
  <si>
    <t xml:space="preserve">COMBINED (SELL + BUY)</t>
  </si>
  <si>
    <t xml:space="preserve">Sell-Side P&amp;L Benefits of Improved Pricing Accuracy</t>
  </si>
  <si>
    <t xml:space="preserve">Notes: Benefits are industry-wide estimates. Blue cells are user-adjustable assumptions on each detail tab.</t>
  </si>
  <si>
    <t xml:space="preserve">Prevents trades revealed unprofitable by better signals</t>
  </si>
  <si>
    <t xml:space="preserve">Enables trades previously missed</t>
  </si>
  <si>
    <t xml:space="preserve">10-15% share shift to smaller dealers</t>
  </si>
  <si>
    <t xml:space="preserve">10-20% lower holding costs</t>
  </si>
  <si>
    <t xml:space="preserve">Reduced disputes, 5-10bp savings</t>
  </si>
  <si>
    <t xml:space="preserve">Deep MM AXOR Corporate Bond Industry Benefits Model</t>
  </si>
  <si>
    <t xml:space="preserve">MARKET DATA ASSUMPTIONS</t>
  </si>
  <si>
    <t xml:space="preserve">US Corporate Credit Market (2025)</t>
  </si>
  <si>
    <t xml:space="preserve">Value</t>
  </si>
  <si>
    <t xml:space="preserve">Units</t>
  </si>
  <si>
    <t xml:space="preserve">Source</t>
  </si>
  <si>
    <t xml:space="preserve">Total Traded Volume</t>
  </si>
  <si>
    <t xml:space="preserve">Trillions</t>
  </si>
  <si>
    <t xml:space="preserve">SIFMA 2025 [12]</t>
  </si>
  <si>
    <t xml:space="preserve">IG Share of Volume</t>
  </si>
  <si>
    <t xml:space="preserve">HY Share of Volume</t>
  </si>
  <si>
    <t xml:space="preserve">IG Traded Volume</t>
  </si>
  <si>
    <t xml:space="preserve">HY Traded Volume</t>
  </si>
  <si>
    <t xml:space="preserve">Total Outstanding Amount</t>
  </si>
  <si>
    <t xml:space="preserve">IG Share of Outstanding</t>
  </si>
  <si>
    <t xml:space="preserve">HY Share of Outstanding</t>
  </si>
  <si>
    <t xml:space="preserve">IG Outstanding Amount</t>
  </si>
  <si>
    <t xml:space="preserve">HY Outstanding Amount</t>
  </si>
  <si>
    <t xml:space="preserve">Total Dealer Revenue (est.)</t>
  </si>
  <si>
    <t xml:space="preserve">Billions</t>
  </si>
  <si>
    <t xml:space="preserve">Greenwich 2024 + growth [13]</t>
  </si>
  <si>
    <t xml:space="preserve">Dealer Inventory (est.)</t>
  </si>
  <si>
    <t xml:space="preserve">ADV $58.8B x ~5 day hold</t>
  </si>
  <si>
    <t xml:space="preserve">Avg Transaction Cost (wtd IG/HY)</t>
  </si>
  <si>
    <t xml:space="preserve">bps</t>
  </si>
  <si>
    <t xml:space="preserve">Annual Inventory Cost Rate</t>
  </si>
  <si>
    <t xml:space="preserve">Funding + capital</t>
  </si>
  <si>
    <t xml:space="preserve">Active Corporate Bond AUM</t>
  </si>
  <si>
    <t xml:space="preserve">~60% of $5T total fund AUM [12]</t>
  </si>
  <si>
    <t xml:space="preserve">Corp Bond Fund AUM</t>
  </si>
  <si>
    <t xml:space="preserve">Insurance Co. Corporate Bond Holdings</t>
  </si>
  <si>
    <t xml:space="preserve">NAIC [14]</t>
  </si>
  <si>
    <t xml:space="preserve">Pension Fund Corporate Bond Holdings</t>
  </si>
  <si>
    <t xml:space="preserve">WTW [10]</t>
  </si>
  <si>
    <t xml:space="preserve">Industry Hedging Costs (annual)</t>
  </si>
  <si>
    <t xml:space="preserve">Midpoint of $20-30B range [9, 18]</t>
  </si>
  <si>
    <t xml:space="preserve">Industry Compliance Costs (annual)</t>
  </si>
  <si>
    <t xml:space="preserve">Midpoint of $13-20B [26, 27]</t>
  </si>
  <si>
    <t xml:space="preserve">DEEP MM vs CP+ ACCURACY METRICS</t>
  </si>
  <si>
    <t xml:space="preserve">Price Absolute Error ($ per $100 par)</t>
  </si>
  <si>
    <t xml:space="preserve">Trade Count</t>
  </si>
  <si>
    <t xml:space="preserve">IG (Deep MM)</t>
  </si>
  <si>
    <t xml:space="preserve">IG (CP+)</t>
  </si>
  <si>
    <t xml:space="preserve">IG Improvement (Deep MM vs CP+)</t>
  </si>
  <si>
    <t xml:space="preserve">HY (Deep MM)</t>
  </si>
  <si>
    <t xml:space="preserve">HY (CP+)</t>
  </si>
  <si>
    <t xml:space="preserve">HY Improvement (Deep MM vs CP+)</t>
  </si>
  <si>
    <t xml:space="preserve">Error Reduction as % of Par</t>
  </si>
  <si>
    <t xml:space="preserve">IG Error Reduction (%)</t>
  </si>
  <si>
    <t xml:space="preserve">HY Error Reduction (%)</t>
  </si>
  <si>
    <t xml:space="preserve">Wtd Median Error Reduction (%)</t>
  </si>
  <si>
    <t xml:space="preserve">Used in Sell-Side calcs</t>
  </si>
  <si>
    <t xml:space="preserve">Relative Improvement (%) vs CP+</t>
  </si>
  <si>
    <t xml:space="preserve">IG Relative Improvement</t>
  </si>
  <si>
    <t xml:space="preserve">HY Relative Improvement</t>
  </si>
  <si>
    <t xml:space="preserve">DEEP MM vs ICE CEP (ESTIMATED)</t>
  </si>
  <si>
    <t xml:space="preserve">ICE CEP Estimated Error ($ per $100 par)</t>
  </si>
  <si>
    <t xml:space="preserve">Basis</t>
  </si>
  <si>
    <t xml:space="preserve">  IG (ICE CEP est.)</t>
  </si>
  <si>
    <t xml:space="preserve">Midpoint of SS&amp;C range [30]</t>
  </si>
  <si>
    <t xml:space="preserve">  HY (ICE CEP est.)</t>
  </si>
  <si>
    <t xml:space="preserve">SS&amp;C: ICE slightly wider for HY [30]</t>
  </si>
  <si>
    <t xml:space="preserve">  IG Improvement (Deep MM vs ICE CEP)</t>
  </si>
  <si>
    <t xml:space="preserve">  HY Improvement (Deep MM vs ICE CEP)</t>
  </si>
  <si>
    <t xml:space="preserve">  Wtd Median Error Reduction vs ICE CEP (%)</t>
  </si>
  <si>
    <t xml:space="preserve">DEEP MM vs BONDCLIQ MID (ESTIMATED)</t>
  </si>
  <si>
    <t xml:space="preserve">BondCliQ Mid Estimated Error ($ per $100 par)</t>
  </si>
  <si>
    <t xml:space="preserve">  IG (BondCliQ est.)</t>
  </si>
  <si>
    <t xml:space="preserve">Harris (2022) range midpoint [31]</t>
  </si>
  <si>
    <t xml:space="preserve">  HY (BondCliQ est.)</t>
  </si>
  <si>
    <t xml:space="preserve">Harris (2022): HY quotes wider [31]</t>
  </si>
  <si>
    <t xml:space="preserve">  IG Improvement (Deep MM vs BondCliQ)</t>
  </si>
  <si>
    <t xml:space="preserve">  HY Improvement (Deep MM vs BondCliQ)</t>
  </si>
  <si>
    <t xml:space="preserve">  Wtd Median Error Reduction vs BondCliQ (%)</t>
  </si>
  <si>
    <t xml:space="preserve">Source: Deep MM Accuracy Report V5.1 (Sept 2025); CP+ Whitepaper p.11; SS&amp;C Benchmark [30]; Harris (2022) [31]</t>
  </si>
  <si>
    <t xml:space="preserve">ICE HEDGING BASELINE (Section 2 derivation)</t>
  </si>
  <si>
    <t xml:space="preserve">ICE IG 75th Pctl Error ($/100 par)</t>
  </si>
  <si>
    <t xml:space="preserve">$/100 par</t>
  </si>
  <si>
    <t xml:space="preserve">Scaled: 1.14× CP+ 75th [30]</t>
  </si>
  <si>
    <t xml:space="preserve">ICE HY 75th Pctl Error ($/100 par)</t>
  </si>
  <si>
    <t xml:space="preserve">Scaled: 1.21× CP+ 75th [30]</t>
  </si>
  <si>
    <t xml:space="preserve">Total ICE Pricing Error ($B)</t>
  </si>
  <si>
    <t xml:space="preserve">IG out × ICE err + HY out × ICE err</t>
  </si>
  <si>
    <t xml:space="preserve">Excess Hedging Pool ($B)</t>
  </si>
  <si>
    <t xml:space="preserve">$20-30B hedging × 10-20% pricing share, midpoint [9,18]</t>
  </si>
  <si>
    <t xml:space="preserve">Marginal Cost per $ of Pricing Error</t>
  </si>
  <si>
    <t xml:space="preserve">Key rate: excess pool ($B) / ICE error ($T)</t>
  </si>
  <si>
    <t xml:space="preserve">Competitive Pricing Accuracy Comparison</t>
  </si>
  <si>
    <t xml:space="preserve">Deep MM and CP+ are published. ICE CEP and BondCliQ are estimates. See Competitive Landscape section of report.</t>
  </si>
  <si>
    <t xml:space="preserve">Segment</t>
  </si>
  <si>
    <t xml:space="preserve">Provider</t>
  </si>
  <si>
    <t xml:space="preserve">Source / Basis</t>
  </si>
  <si>
    <t xml:space="preserve">Data Type</t>
  </si>
  <si>
    <t xml:space="preserve">Confidence</t>
  </si>
  <si>
    <t xml:space="preserve">IG</t>
  </si>
  <si>
    <t xml:space="preserve">Deep MM</t>
  </si>
  <si>
    <t xml:space="preserve">Published, 315K trades</t>
  </si>
  <si>
    <t xml:space="preserve">Actual</t>
  </si>
  <si>
    <t xml:space="preserve">●●●●●</t>
  </si>
  <si>
    <t xml:space="preserve">CP+ (MarketAxess)</t>
  </si>
  <si>
    <t xml:space="preserve">Published, 510K trades</t>
  </si>
  <si>
    <t xml:space="preserve">ICE CEP (est.)</t>
  </si>
  <si>
    <t xml:space="preserve">SS&amp;C Benchmark [30]</t>
  </si>
  <si>
    <t xml:space="preserve">Estimate</t>
  </si>
  <si>
    <t xml:space="preserve">●●●○○</t>
  </si>
  <si>
    <t xml:space="preserve">BondCliQ Mid (est.)</t>
  </si>
  <si>
    <t xml:space="preserve">Harris (2022) [31]</t>
  </si>
  <si>
    <t xml:space="preserve">●●○○○</t>
  </si>
  <si>
    <t xml:space="preserve">HY</t>
  </si>
  <si>
    <t xml:space="preserve">Published, 98K trades</t>
  </si>
  <si>
    <t xml:space="preserve">Published, 193K trades</t>
  </si>
  <si>
    <t xml:space="preserve">Deep MM Advantage (Median)</t>
  </si>
  <si>
    <t xml:space="preserve">Competitor</t>
  </si>
  <si>
    <t xml:space="preserve">IG Advantage</t>
  </si>
  <si>
    <t xml:space="preserve">HY Advantage</t>
  </si>
  <si>
    <t xml:space="preserve">CP+</t>
  </si>
  <si>
    <t xml:space="preserve">Published vs published</t>
  </si>
  <si>
    <t xml:space="preserve">Published vs estimated</t>
  </si>
  <si>
    <t xml:space="preserve">Deep MM's Addressable Share of Industry Benefits</t>
  </si>
  <si>
    <t xml:space="preserve">SCENARIO ASSUMPTIONS</t>
  </si>
  <si>
    <t xml:space="preserve">Combined Industry Benefit vs CP+ ($B)</t>
  </si>
  <si>
    <t xml:space="preserve">Conservative</t>
  </si>
  <si>
    <t xml:space="preserve">Base Case</t>
  </si>
  <si>
    <t xml:space="preserve">Optimistic</t>
  </si>
  <si>
    <t xml:space="preserve">Year 1-2</t>
  </si>
  <si>
    <t xml:space="preserve">Year 3-5</t>
  </si>
  <si>
    <t xml:space="preserve">Year 5-10</t>
  </si>
  <si>
    <t xml:space="preserve">Market Penetration Rate</t>
  </si>
  <si>
    <t xml:space="preserve">Value Capture Rate</t>
  </si>
  <si>
    <t xml:space="preserve">Competitive Share</t>
  </si>
  <si>
    <t xml:space="preserve">CORE PRICING REVENUE</t>
  </si>
  <si>
    <t xml:space="preserve">Core Pricing Revenue ($M)</t>
  </si>
  <si>
    <t xml:space="preserve">ADJACENT INFRASTRUCTURE</t>
  </si>
  <si>
    <t xml:space="preserve">Trading platform licensing ($M)</t>
  </si>
  <si>
    <t xml:space="preserve">Portfolio analytics ($M)</t>
  </si>
  <si>
    <t xml:space="preserve">Compliance tools ($M)</t>
  </si>
  <si>
    <t xml:space="preserve">Index &amp; benchmark ($M)</t>
  </si>
  <si>
    <t xml:space="preserve">Total Adjacent Revenue ($M)</t>
  </si>
  <si>
    <t xml:space="preserve">TOTAL ADDRESSABLE REVENUE ($M)</t>
  </si>
  <si>
    <t xml:space="preserve">SS1: Preventing Unprofitable Trades</t>
  </si>
  <si>
    <t xml:space="preserve">KEY ASSUMPTIONS</t>
  </si>
  <si>
    <t xml:space="preserve">Source / Notes</t>
  </si>
  <si>
    <t xml:space="preserve">Total Traded Volume ($T)</t>
  </si>
  <si>
    <t xml:space="preserve">From Assumptions</t>
  </si>
  <si>
    <t xml:space="preserve">Split factor (half to preventing, half to capturing)</t>
  </si>
  <si>
    <t xml:space="preserve">Symmetric split</t>
  </si>
  <si>
    <t xml:space="preserve">CALCULATION</t>
  </si>
  <si>
    <t xml:space="preserve">Gross error reduction ($B)</t>
  </si>
  <si>
    <t xml:space="preserve">Allocated to preventing unprofitable trades</t>
  </si>
  <si>
    <t xml:space="preserve">SELL-SIDE BENEFIT: Preventing Unprofitable Trades</t>
  </si>
  <si>
    <t xml:space="preserve">NOTES</t>
  </si>
  <si>
    <t xml:space="preserve">Half of total impact from weighted median error reduction on traded volume.</t>
  </si>
  <si>
    <t xml:space="preserve">Proxies incremental spread capture improvements avoiding losses across all trades.</t>
  </si>
  <si>
    <t xml:space="preserve">SS2: Capturing New Trades</t>
  </si>
  <si>
    <t xml:space="preserve">Split factor (half to capturing new trades)</t>
  </si>
  <si>
    <t xml:space="preserve">Allocated to capturing new trades</t>
  </si>
  <si>
    <t xml:space="preserve">SELL-SIDE BENEFIT: Capturing New Trades</t>
  </si>
  <si>
    <t xml:space="preserve">Enables trades previously missed by now being on-market with accurate pricing.</t>
  </si>
  <si>
    <t xml:space="preserve">SS3: Enhanced Competition</t>
  </si>
  <si>
    <t xml:space="preserve">Total Dealer Revenue ($B)</t>
  </si>
  <si>
    <t xml:space="preserve">Nonbank/smaller dealer share</t>
  </si>
  <si>
    <t xml:space="preserve">Est. 10-20%</t>
  </si>
  <si>
    <t xml:space="preserve">Market share shift from better pricing</t>
  </si>
  <si>
    <t xml:space="preserve">Est. 10-15%</t>
  </si>
  <si>
    <t xml:space="preserve">Growth factor for scaling</t>
  </si>
  <si>
    <t xml:space="preserve">x</t>
  </si>
  <si>
    <t xml:space="preserve">Post-crisis cost doublings</t>
  </si>
  <si>
    <t xml:space="preserve">Smaller dealer revenue base ($B)</t>
  </si>
  <si>
    <t xml:space="preserve">Share shift revenue ($B)</t>
  </si>
  <si>
    <t xml:space="preserve">Scaled benefit ($B)</t>
  </si>
  <si>
    <t xml:space="preserve">SELL-SIDE BENEFIT: Enhanced Competition</t>
  </si>
  <si>
    <t xml:space="preserve">Levels field for smaller dealers via more reliable pricing.</t>
  </si>
  <si>
    <t xml:space="preserve">Independent of volume base calculation.</t>
  </si>
  <si>
    <t xml:space="preserve">SS4: Inventory &amp; Risk Management</t>
  </si>
  <si>
    <t xml:space="preserve">Dealer Inventory ($B)</t>
  </si>
  <si>
    <t xml:space="preserve">Annual Inventory Costs ($B)</t>
  </si>
  <si>
    <t xml:space="preserve">Savings rate (10-20% range)</t>
  </si>
  <si>
    <t xml:space="preserve">From 75th pctl improvement</t>
  </si>
  <si>
    <t xml:space="preserve">Scale-up factor (hedging + post-crisis)</t>
  </si>
  <si>
    <t xml:space="preserve">Conservative scaling</t>
  </si>
  <si>
    <t xml:space="preserve">Base savings ($B)</t>
  </si>
  <si>
    <t xml:space="preserve">Scaled savings ($B)</t>
  </si>
  <si>
    <t xml:space="preserve">SELL-SIDE BENEFIT: Inventory &amp; Risk Management</t>
  </si>
  <si>
    <t xml:space="preserve">75th pctl error reduction proxies mitigation of risk mismeasurement.</t>
  </si>
  <si>
    <t xml:space="preserve">Scaled for hedging costs and post-crisis cost structure.</t>
  </si>
  <si>
    <t xml:space="preserve">SS5: Operational Efficiencies</t>
  </si>
  <si>
    <t xml:space="preserve">95th Pctl Error IG (bps)</t>
  </si>
  <si>
    <t xml:space="preserve">95th Pctl Error HY (bps)</t>
  </si>
  <si>
    <t xml:space="preserve">Wtd avg avoided cost (bps)</t>
  </si>
  <si>
    <t xml:space="preserve">Conservative: ~2.3-3.7bp range</t>
  </si>
  <si>
    <t xml:space="preserve">Dispute-specific adjustment</t>
  </si>
  <si>
    <t xml:space="preserve">Only dispute/ops share</t>
  </si>
  <si>
    <t xml:space="preserve">Gross savings ($B)</t>
  </si>
  <si>
    <t xml:space="preserve">Adjusted for dispute-specific share</t>
  </si>
  <si>
    <t xml:space="preserve">SELL-SIDE BENEFIT: Operational Efficiencies</t>
  </si>
  <si>
    <t xml:space="preserve">95th pctl error reduction equates to ~2.3-3.7bp avoided costs.</t>
  </si>
  <si>
    <t xml:space="preserve">Conservatively adjusted for dispute-specific efficiencies.</t>
  </si>
  <si>
    <t xml:space="preserve">BS1: Direct Trading Losses from Misexecution</t>
  </si>
  <si>
    <t xml:space="preserve">IG Traded Volume ($T)</t>
  </si>
  <si>
    <t xml:space="preserve">HY Traded Volume ($T)</t>
  </si>
  <si>
    <t xml:space="preserve">IG Median Error Reduction (%)</t>
  </si>
  <si>
    <t xml:space="preserve">HY Median Error Reduction (%)</t>
  </si>
  <si>
    <t xml:space="preserve">Conversion Factor (OTC market)</t>
  </si>
  <si>
    <t xml:space="preserve">See doc Section 1 derivation</t>
  </si>
  <si>
    <t xml:space="preserve">IG gross error reduction ($B)</t>
  </si>
  <si>
    <t xml:space="preserve">HY gross error reduction ($B)</t>
  </si>
  <si>
    <t xml:space="preserve">Total gross ($B)</t>
  </si>
  <si>
    <t xml:space="preserve">Net after conversion factor ($B)</t>
  </si>
  <si>
    <t xml:space="preserve">BUY-SIDE BENEFIT: Direct Trading Losses</t>
  </si>
  <si>
    <t xml:space="preserve">Conversion factor = RFQ competition (87.5%) x electronic blend (87%) x directional cancellation (80%) ≈ 65%.</t>
  </si>
  <si>
    <t xml:space="preserve">Captures execution improvement on trades that actually occurred.</t>
  </si>
  <si>
    <t xml:space="preserve">BS2: Suboptimal Hedging &amp; Risk Management Costs</t>
  </si>
  <si>
    <t xml:space="preserve">Uses ICE-derived marginal cost rate (ICE is dominant incumbent)</t>
  </si>
  <si>
    <t xml:space="preserve">IG Outstanding ($T)</t>
  </si>
  <si>
    <t xml:space="preserve">HY Outstanding ($T)</t>
  </si>
  <si>
    <t xml:space="preserve">IG 75th Pctl Improvement vs CP+ ($/100)</t>
  </si>
  <si>
    <t xml:space="preserve">Published: 0.184 - 0.1049</t>
  </si>
  <si>
    <t xml:space="preserve">HY 75th Pctl Improvement vs CP+ ($/100)</t>
  </si>
  <si>
    <t xml:space="preserve">Published: 0.307 - 0.1589</t>
  </si>
  <si>
    <t xml:space="preserve">ICE IG 75th Pctl Error ($/100)</t>
  </si>
  <si>
    <t xml:space="preserve">Scaled: 1.14× CP+ 75th</t>
  </si>
  <si>
    <t xml:space="preserve">ICE HY 75th Pctl Error ($/100)</t>
  </si>
  <si>
    <t xml:space="preserve">Scaled: 1.21× CP+ 75th</t>
  </si>
  <si>
    <t xml:space="preserve">$20-30B × 10-20%, midpoint [9, 18]</t>
  </si>
  <si>
    <t xml:space="preserve">Marginal Cost Rate</t>
  </si>
  <si>
    <t xml:space="preserve">per $ of error</t>
  </si>
  <si>
    <t xml:space="preserve">Excess pool / Total ICE error</t>
  </si>
  <si>
    <t xml:space="preserve">CP+ improvement: IG ($B)</t>
  </si>
  <si>
    <t xml:space="preserve">CP+ improvement: HY ($B)</t>
  </si>
  <si>
    <t xml:space="preserve">Total CP+ improvement ($B)</t>
  </si>
  <si>
    <t xml:space="preserve">Savings vs CP+ ($B)</t>
  </si>
  <si>
    <t xml:space="preserve">ICE improvement: IG ($B)</t>
  </si>
  <si>
    <t xml:space="preserve">ICE improvement: HY ($B)</t>
  </si>
  <si>
    <t xml:space="preserve">Total ICE improvement ($B)</t>
  </si>
  <si>
    <t xml:space="preserve">Savings vs ICE ($B)</t>
  </si>
  <si>
    <t xml:space="preserve">BondCliQ improvement ($B)</t>
  </si>
  <si>
    <t xml:space="preserve">Savings vs BondCliQ ($B)</t>
  </si>
  <si>
    <t xml:space="preserve">BUY-SIDE BENEFIT vs CP+</t>
  </si>
  <si>
    <t xml:space="preserve">BUY-SIDE BENEFIT vs ICE</t>
  </si>
  <si>
    <t xml:space="preserve">BUY-SIDE BENEFIT vs BondCliQ</t>
  </si>
  <si>
    <t xml:space="preserve">Marginal rate derived from ICE (dominant incumbent): excess pool / total ICE error.</t>
  </si>
  <si>
    <t xml:space="preserve">Rate applies to ANY provider switch — CP+ firms get smaller savings, ICE firms get larger.</t>
  </si>
  <si>
    <t xml:space="preserve">Three cost channels: incorrect notionals, unnecessary rebalancing, basis distortion.</t>
  </si>
  <si>
    <t xml:space="preserve">75th percentile used: hedging protects against worse-than-average outcomes.</t>
  </si>
  <si>
    <t xml:space="preserve">See Section 2 of benefits document for full derivation.</t>
  </si>
  <si>
    <t xml:space="preserve">BS3: Alpha Generation from Improved Signal Accuracy</t>
  </si>
  <si>
    <t xml:space="preserve">Active Corporate Bond AUM ($T)</t>
  </si>
  <si>
    <t xml:space="preserve">Deep MM median relative improvement (%)</t>
  </si>
  <si>
    <t xml:space="preserve">~42% for IG</t>
  </si>
  <si>
    <t xml:space="preserve">Usable SNR improvement (% of theoretical)</t>
  </si>
  <si>
    <t xml:space="preserve">~half of theoretical max</t>
  </si>
  <si>
    <t xml:space="preserve">Base alpha from value factors (bps)</t>
  </si>
  <si>
    <t xml:space="preserve">Israel et al [5]: 30-60bp</t>
  </si>
  <si>
    <t xml:space="preserve">Incremental alpha rate (bps)</t>
  </si>
  <si>
    <t xml:space="preserve">Capture rate (competition, txn costs)</t>
  </si>
  <si>
    <t xml:space="preserve">Not all managers use quant signals</t>
  </si>
  <si>
    <t xml:space="preserve">Gross incremental alpha ($B)</t>
  </si>
  <si>
    <t xml:space="preserve">Net after capture rate ($B)</t>
  </si>
  <si>
    <t xml:space="preserve">BUY-SIDE BENEFIT: Alpha Generation</t>
  </si>
  <si>
    <t xml:space="preserve">SNR improvement of ~25-35% in relative value identification.</t>
  </si>
  <si>
    <t xml:space="preserve">Distinct from Sections 1 and 5: measures quality of trade selection.</t>
  </si>
  <si>
    <t xml:space="preserve">BS4: Mark-to-Market Valuation &amp; P&amp;L Volatility</t>
  </si>
  <si>
    <t xml:space="preserve">AUM erosion channel ($M)</t>
  </si>
  <si>
    <t xml:space="preserve">$M</t>
  </si>
  <si>
    <t xml:space="preserve">Midpoint $100-500M</t>
  </si>
  <si>
    <t xml:space="preserve">Capital buffer channel ($M)</t>
  </si>
  <si>
    <t xml:space="preserve">Midpoint $100-300M</t>
  </si>
  <si>
    <t xml:space="preserve">Suboptimal rebalancing channel ($M)</t>
  </si>
  <si>
    <t xml:space="preserve">Midpoint $200-500M</t>
  </si>
  <si>
    <t xml:space="preserve">IG valuation noise reduction ($B)</t>
  </si>
  <si>
    <t xml:space="preserve">HY valuation noise reduction ($B)</t>
  </si>
  <si>
    <t xml:space="preserve">Total valuation noise reduction ($B)</t>
  </si>
  <si>
    <t xml:space="preserve">Sum of cost channels ($M)</t>
  </si>
  <si>
    <t xml:space="preserve">Sum of cost channels ($B)</t>
  </si>
  <si>
    <t xml:space="preserve">BUY-SIDE BENEFIT: MtM &amp; P&amp;L Volatility</t>
  </si>
  <si>
    <t xml:space="preserve">$5.1B is total noise reduction; actual cost flows through 3 channels.</t>
  </si>
  <si>
    <t xml:space="preserve">Cross-checked vs top-down: 0.05-0.1% of AUM x 5-15% pricing share.</t>
  </si>
  <si>
    <t xml:space="preserve">BS5: Opportunity Costs from Pricing Uncertainty</t>
  </si>
  <si>
    <t xml:space="preserve">IG suppression rate</t>
  </si>
  <si>
    <t xml:space="preserve">6% from Greenwich [13]</t>
  </si>
  <si>
    <t xml:space="preserve">HY suppression rate</t>
  </si>
  <si>
    <t xml:space="preserve">15% from Greenwich [13]</t>
  </si>
  <si>
    <t xml:space="preserve">IG recovery rate (Deep MM improvement)</t>
  </si>
  <si>
    <t xml:space="preserve">~42%</t>
  </si>
  <si>
    <t xml:space="preserve">HY recovery rate (Deep MM improvement)</t>
  </si>
  <si>
    <t xml:space="preserve">~47%</t>
  </si>
  <si>
    <t xml:space="preserve">IG net alpha on recovered trades (bps)</t>
  </si>
  <si>
    <t xml:space="preserve">Gross 25-35bp less 20bp txn</t>
  </si>
  <si>
    <t xml:space="preserve">HY net alpha on recovered trades (bps)</t>
  </si>
  <si>
    <t xml:space="preserve">Gross 80-100bp less 60bp txn</t>
  </si>
  <si>
    <t xml:space="preserve">IG suppressed volume ($T)</t>
  </si>
  <si>
    <t xml:space="preserve">HY suppressed volume ($T)</t>
  </si>
  <si>
    <t xml:space="preserve">IG recoverable ($T)</t>
  </si>
  <si>
    <t xml:space="preserve">HY recoverable ($T)</t>
  </si>
  <si>
    <t xml:space="preserve">Total recoverable ($T)</t>
  </si>
  <si>
    <t xml:space="preserve">IG profit ($B)</t>
  </si>
  <si>
    <t xml:space="preserve">HY profit ($B)</t>
  </si>
  <si>
    <t xml:space="preserve">Total ($B)</t>
  </si>
  <si>
    <t xml:space="preserve">BUY-SIDE BENEFIT: Opportunity Costs</t>
  </si>
  <si>
    <t xml:space="preserve">Measures profits from trades that never happened due to pricing uncertainty.</t>
  </si>
  <si>
    <t xml:space="preserve">Completely separate base from Section 1 (which covers trades that DID happen).</t>
  </si>
  <si>
    <t xml:space="preserve">BS6: Performance Attribution &amp; Incentive Misalignments</t>
  </si>
  <si>
    <t xml:space="preserve">From BS4</t>
  </si>
  <si>
    <t xml:space="preserve">Attribution factor</t>
  </si>
  <si>
    <t xml:space="preserve">10% of noise -&gt; attribution costs</t>
  </si>
  <si>
    <t xml:space="preserve">Attribution-related savings ($B)</t>
  </si>
  <si>
    <t xml:space="preserve">BUY-SIDE BENEFIT: Performance Attribution</t>
  </si>
  <si>
    <t xml:space="preserve">Conservative: only 10% of valuation noise systematically biases attribution.</t>
  </si>
  <si>
    <t xml:space="preserve">Covers fee miscalculations, misallocated capital, misaligned incentives.</t>
  </si>
  <si>
    <t xml:space="preserve">BS7: Portfolio Optimization from Liquidity-Aware Construction</t>
  </si>
  <si>
    <t xml:space="preserve">Share of RFQs affected by bad liquidity est.</t>
  </si>
  <si>
    <t xml:space="preserve">10-15% range</t>
  </si>
  <si>
    <t xml:space="preserve">Avg Transaction Cost (bps)</t>
  </si>
  <si>
    <t xml:space="preserve">Execution shortfall reduction</t>
  </si>
  <si>
    <t xml:space="preserve">AXOR backtest: 20-30%</t>
  </si>
  <si>
    <t xml:space="preserve">Market adoption rate</t>
  </si>
  <si>
    <t xml:space="preserve">Sophisticated firms only</t>
  </si>
  <si>
    <t xml:space="preserve">Affected volume ($T)</t>
  </si>
  <si>
    <t xml:space="preserve">Gross cost on affected trades ($B)</t>
  </si>
  <si>
    <t xml:space="preserve">Reduction from better fill-prob</t>
  </si>
  <si>
    <t xml:space="preserve">Adjusted for adoption</t>
  </si>
  <si>
    <t xml:space="preserve">BUY-SIDE BENEFIT: Portfolio Optimization</t>
  </si>
  <si>
    <t xml:space="preserve">Captures value of choosing better trades to begin with.</t>
  </si>
  <si>
    <t xml:space="preserve">Distinct from Section 1 (execution) and Section 5 (suppressed volume).</t>
  </si>
  <si>
    <t xml:space="preserve">BS8: Regulatory &amp; Compliance Burdens</t>
  </si>
  <si>
    <t xml:space="preserve">Industry Compliance Costs ($B)</t>
  </si>
  <si>
    <t xml:space="preserve">Corporate bond share of compliance</t>
  </si>
  <si>
    <t xml:space="preserve">6-8% of total</t>
  </si>
  <si>
    <t xml:space="preserve">Pricing/valuation share of CB compliance</t>
  </si>
  <si>
    <t xml:space="preserve">20-30% [16, 17]</t>
  </si>
  <si>
    <t xml:space="preserve">95th pctl relative improvement</t>
  </si>
  <si>
    <t xml:space="preserve">Wtd ~42% [30]</t>
  </si>
  <si>
    <t xml:space="preserve">Convexity adjustment</t>
  </si>
  <si>
    <t xml:space="preserve">Large errors disproportionate</t>
  </si>
  <si>
    <t xml:space="preserve">CB compliance costs ($B)</t>
  </si>
  <si>
    <t xml:space="preserve">Pricing-related compliance ($B)</t>
  </si>
  <si>
    <t xml:space="preserve">Convexity-adjusted ($B)</t>
  </si>
  <si>
    <t xml:space="preserve">BUY-SIDE BENEFIT: Regulatory &amp; Compliance</t>
  </si>
  <si>
    <t xml:space="preserve">95th percentile used: compliance triggered by large tail errors.</t>
  </si>
  <si>
    <t xml:space="preserve">Convexity: errors above materiality threshold trigger disproportionate costs.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</si>
</sst>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#,##0"/>
    <numFmt numFmtId="166" formatCode="0%"/>
    <numFmt numFmtId="167" formatCode="0.000000%"/>
    <numFmt numFmtId="168" formatCode="0.000"/>
    <numFmt numFmtId="169" formatCode="0.000000"/>
    <numFmt numFmtId="170" formatCode="0.00"/>
    <numFmt numFmtId="171" formatCode="\$#,##0"/>
    <numFmt numFmtId="172" formatCode="0.0&quot; bps&quot;"/>
    <numFmt numFmtId="173" formatCode="0.00%"/>
    <numFmt numFmtId="174" formatCode="#,##0.0"/>
    <numFmt numFmtId="175" formatCode="0.00\x"/>
    <numFmt numFmtId="176" formatCode="\$#,##0"/>
    <numFmt numFmtId="177" formatCode="0.0%"/>
    <numFmt numFmtId="178" formatCode="\$#,##0.0\B"/>
    <numFmt numFmtId="179" formatCode="0.0000"/>
    <numFmt numFmtId="180" formatCode="General"/>
    <numFmt numFmtId="181" formatCode="\$#,##0\M"/>
    <numFmt numFmtId="182" formatCode="0.0"/>
    <numFmt numFmtId="183" formatCode="0.0\x"/>
  </numFmts>
  <fonts count="2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Cambria"/>
      <family val="0"/>
      <charset val="1"/>
    </font>
    <font>
      <i val="true"/>
      <sz val="10"/>
      <name val="Cambria"/>
      <family val="0"/>
      <charset val="1"/>
    </font>
    <font>
      <b val="true"/>
      <sz val="11"/>
      <color rgb="FF000000"/>
      <name val="Cambria"/>
      <family val="0"/>
      <charset val="1"/>
    </font>
    <font>
      <b val="true"/>
      <sz val="11"/>
      <color rgb="FFFFFFFF"/>
      <name val="Cambria"/>
      <family val="0"/>
      <charset val="1"/>
    </font>
    <font>
      <sz val="11"/>
      <name val="Cambria"/>
      <family val="0"/>
      <charset val="1"/>
    </font>
    <font>
      <sz val="11"/>
      <color rgb="FF0000FF"/>
      <name val="Cambria"/>
      <family val="0"/>
      <charset val="1"/>
    </font>
    <font>
      <b val="true"/>
      <sz val="14"/>
      <color rgb="FF000000"/>
      <name val="Arial"/>
      <family val="0"/>
      <charset val="1"/>
    </font>
    <font>
      <i val="true"/>
      <sz val="10"/>
      <color rgb="FF666666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sz val="11"/>
      <color rgb="FF000000"/>
      <name val="Arial"/>
      <family val="0"/>
      <charset val="1"/>
    </font>
    <font>
      <b val="true"/>
      <sz val="11"/>
      <color rgb="FF000000"/>
      <name val="Arial"/>
      <family val="0"/>
      <charset val="1"/>
    </font>
    <font>
      <sz val="11"/>
      <color rgb="FF008000"/>
      <name val="Arial"/>
      <family val="0"/>
      <charset val="1"/>
    </font>
    <font>
      <sz val="11"/>
      <color rgb="FF008000"/>
      <name val="Cambria"/>
      <family val="0"/>
      <charset val="1"/>
    </font>
    <font>
      <sz val="11"/>
      <color rgb="FF0000FF"/>
      <name val="Arial"/>
      <family val="0"/>
      <charset val="1"/>
    </font>
    <font>
      <sz val="11"/>
      <color rgb="FF000000"/>
      <name val="Cambria"/>
      <family val="0"/>
      <charset val="1"/>
    </font>
    <font>
      <b val="true"/>
      <sz val="12"/>
      <color rgb="FF000000"/>
      <name val="Arial"/>
      <family val="0"/>
      <charset val="1"/>
    </font>
    <font>
      <i val="true"/>
      <sz val="11"/>
      <color rgb="FF666666"/>
      <name val="Cambria"/>
      <family val="0"/>
      <charset val="1"/>
    </font>
  </fonts>
  <fills count="11">
    <fill>
      <patternFill patternType="none"/>
    </fill>
    <fill>
      <patternFill patternType="gray125"/>
    </fill>
    <fill>
      <patternFill patternType="solid">
        <fgColor rgb="FF4472C4"/>
        <bgColor rgb="FF666666"/>
      </patternFill>
    </fill>
    <fill>
      <patternFill patternType="solid">
        <fgColor rgb="FFD9E2F3"/>
        <bgColor rgb="FFD6EAF8"/>
      </patternFill>
    </fill>
    <fill>
      <patternFill patternType="solid">
        <fgColor rgb="FFFFFF00"/>
        <bgColor rgb="FFFFFF00"/>
      </patternFill>
    </fill>
    <fill>
      <patternFill patternType="solid">
        <fgColor rgb="FF1A5276"/>
        <bgColor rgb="FF34495E"/>
      </patternFill>
    </fill>
    <fill>
      <patternFill patternType="solid">
        <fgColor rgb="FFD6EAF8"/>
        <bgColor rgb="FFDAEEF3"/>
      </patternFill>
    </fill>
    <fill>
      <patternFill patternType="solid">
        <fgColor rgb="FFAED6F1"/>
        <bgColor rgb="FFCCCCCC"/>
      </patternFill>
    </fill>
    <fill>
      <patternFill patternType="solid">
        <fgColor rgb="FF2C3E50"/>
        <bgColor rgb="FF34495E"/>
      </patternFill>
    </fill>
    <fill>
      <patternFill patternType="solid">
        <fgColor rgb="FF34495E"/>
        <bgColor rgb="FF2C3E50"/>
      </patternFill>
    </fill>
    <fill>
      <patternFill patternType="solid">
        <fgColor rgb="FFDAEEF3"/>
        <bgColor rgb="FFD6EAF8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6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9" fillId="4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4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6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0" fontId="9" fillId="4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3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5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6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6" fontId="6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7" fontId="8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7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5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8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16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6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14" fillId="6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7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14" fillId="7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8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9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13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7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1" fontId="14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1" fontId="17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1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2" fontId="17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8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8" fontId="14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17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3" fontId="17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2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16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9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2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8" fontId="18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18" fillId="1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7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2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AEEF3"/>
      <rgbColor rgb="FF660066"/>
      <rgbColor rgb="FFFF8080"/>
      <rgbColor rgb="FF0066CC"/>
      <rgbColor rgb="FFD9E2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6EAF8"/>
      <rgbColor rgb="FFCCFFCC"/>
      <rgbColor rgb="FFFFFF99"/>
      <rgbColor rgb="FFAED6F1"/>
      <rgbColor rgb="FFFF99CC"/>
      <rgbColor rgb="FFCC99FF"/>
      <rgbColor rgb="FFFFCC99"/>
      <rgbColor rgb="FF4472C4"/>
      <rgbColor rgb="FF33CCCC"/>
      <rgbColor rgb="FF99CC00"/>
      <rgbColor rgb="FFFFCC00"/>
      <rgbColor rgb="FFFF9900"/>
      <rgbColor rgb="FFFF6600"/>
      <rgbColor rgb="FF666666"/>
      <rgbColor rgb="FF969696"/>
      <rgbColor rgb="FF1A5276"/>
      <rgbColor rgb="FF339966"/>
      <rgbColor rgb="FF003300"/>
      <rgbColor rgb="FF333300"/>
      <rgbColor rgb="FF993300"/>
      <rgbColor rgb="FF993366"/>
      <rgbColor rgb="FF34495E"/>
      <rgbColor rgb="FF2C3E5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28"/>
    <col collapsed="false" customWidth="true" hidden="false" outlineLevel="0" max="7" min="2" style="1" width="18"/>
  </cols>
  <sheetData>
    <row r="1" customFormat="false" ht="17.25" hidden="false" customHeight="true" outlineLevel="0" collapsed="false">
      <c r="A1" s="2" t="s">
        <v>0</v>
      </c>
    </row>
    <row r="2" customFormat="false" ht="15" hidden="false" customHeight="true" outlineLevel="0" collapsed="false">
      <c r="A2" s="3" t="s">
        <v>1</v>
      </c>
    </row>
    <row r="4" customFormat="false" ht="15" hidden="false" customHeight="true" outlineLevel="0" collapsed="false">
      <c r="A4" s="4" t="s">
        <v>2</v>
      </c>
    </row>
    <row r="5" customFormat="false" ht="15" hidden="false" customHeight="true" outlineLevel="0" collapsed="false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</row>
    <row r="6" customFormat="false" ht="15" hidden="false" customHeight="true" outlineLevel="0" collapsed="false">
      <c r="A6" s="6" t="s">
        <v>8</v>
      </c>
      <c r="B6" s="7" t="n">
        <v>500</v>
      </c>
      <c r="C6" s="8" t="n">
        <v>0.3</v>
      </c>
      <c r="D6" s="7" t="n">
        <f aca="false">B6*C6</f>
        <v>150</v>
      </c>
      <c r="E6" s="6" t="s">
        <v>9</v>
      </c>
    </row>
    <row r="7" customFormat="false" ht="15" hidden="false" customHeight="true" outlineLevel="0" collapsed="false">
      <c r="A7" s="6" t="s">
        <v>10</v>
      </c>
      <c r="B7" s="7" t="n">
        <v>500</v>
      </c>
      <c r="C7" s="8" t="n">
        <v>1</v>
      </c>
      <c r="D7" s="7" t="n">
        <f aca="false">B7*C7</f>
        <v>500</v>
      </c>
      <c r="E7" s="6" t="s">
        <v>11</v>
      </c>
    </row>
    <row r="8" customFormat="false" ht="15" hidden="false" customHeight="true" outlineLevel="0" collapsed="false">
      <c r="A8" s="6" t="s">
        <v>12</v>
      </c>
      <c r="B8" s="7" t="n">
        <v>500</v>
      </c>
      <c r="C8" s="8" t="n">
        <v>3</v>
      </c>
      <c r="D8" s="7" t="n">
        <f aca="false">B8*C8</f>
        <v>1500</v>
      </c>
      <c r="E8" s="6" t="s">
        <v>13</v>
      </c>
    </row>
    <row r="9" customFormat="false" ht="15" hidden="false" customHeight="true" outlineLevel="0" collapsed="false">
      <c r="A9" s="6" t="s">
        <v>14</v>
      </c>
      <c r="B9" s="7" t="n">
        <v>5000</v>
      </c>
      <c r="C9" s="8" t="n">
        <v>0.3</v>
      </c>
      <c r="D9" s="7" t="n">
        <f aca="false">B9*C9</f>
        <v>1500</v>
      </c>
      <c r="E9" s="6" t="s">
        <v>15</v>
      </c>
    </row>
    <row r="10" customFormat="false" ht="15" hidden="false" customHeight="true" outlineLevel="0" collapsed="false">
      <c r="A10" s="6" t="s">
        <v>16</v>
      </c>
      <c r="B10" s="7" t="n">
        <v>5000</v>
      </c>
      <c r="C10" s="8" t="n">
        <v>1</v>
      </c>
      <c r="D10" s="7" t="n">
        <f aca="false">B10*C10</f>
        <v>5000</v>
      </c>
      <c r="E10" s="6" t="s">
        <v>17</v>
      </c>
    </row>
    <row r="11" customFormat="false" ht="15" hidden="false" customHeight="true" outlineLevel="0" collapsed="false">
      <c r="A11" s="6" t="s">
        <v>18</v>
      </c>
      <c r="B11" s="7" t="n">
        <v>5000</v>
      </c>
      <c r="C11" s="8" t="n">
        <v>3</v>
      </c>
      <c r="D11" s="7" t="n">
        <f aca="false">B11*C11</f>
        <v>15000</v>
      </c>
      <c r="E11" s="6" t="s">
        <v>19</v>
      </c>
    </row>
    <row r="12" customFormat="false" ht="15" hidden="false" customHeight="true" outlineLevel="0" collapsed="false">
      <c r="A12" s="6" t="s">
        <v>20</v>
      </c>
      <c r="B12" s="7" t="n">
        <v>50000</v>
      </c>
      <c r="C12" s="8" t="n">
        <v>0.3</v>
      </c>
      <c r="D12" s="7" t="n">
        <f aca="false">B12*C12</f>
        <v>15000</v>
      </c>
      <c r="E12" s="6" t="s">
        <v>21</v>
      </c>
    </row>
    <row r="13" customFormat="false" ht="15" hidden="false" customHeight="true" outlineLevel="0" collapsed="false">
      <c r="A13" s="6" t="s">
        <v>22</v>
      </c>
      <c r="B13" s="7" t="n">
        <v>50000</v>
      </c>
      <c r="C13" s="8" t="n">
        <v>1</v>
      </c>
      <c r="D13" s="7" t="n">
        <f aca="false">B13*C13</f>
        <v>50000</v>
      </c>
      <c r="E13" s="6" t="s">
        <v>23</v>
      </c>
    </row>
    <row r="14" customFormat="false" ht="15" hidden="false" customHeight="true" outlineLevel="0" collapsed="false">
      <c r="A14" s="6" t="s">
        <v>24</v>
      </c>
      <c r="B14" s="7" t="n">
        <v>50000</v>
      </c>
      <c r="C14" s="8" t="n">
        <v>3</v>
      </c>
      <c r="D14" s="7" t="n">
        <f aca="false">B14*C14</f>
        <v>150000</v>
      </c>
      <c r="E14" s="6" t="s">
        <v>25</v>
      </c>
    </row>
    <row r="16" customFormat="false" ht="15" hidden="false" customHeight="true" outlineLevel="0" collapsed="false">
      <c r="A16" s="4" t="s">
        <v>26</v>
      </c>
    </row>
    <row r="17" customFormat="false" ht="15" hidden="false" customHeight="true" outlineLevel="0" collapsed="false">
      <c r="A17" s="3" t="s">
        <v>27</v>
      </c>
    </row>
    <row r="18" customFormat="false" ht="15" hidden="false" customHeight="true" outlineLevel="0" collapsed="false">
      <c r="A18" s="5" t="s">
        <v>28</v>
      </c>
      <c r="B18" s="5" t="s">
        <v>29</v>
      </c>
      <c r="C18" s="5" t="s">
        <v>30</v>
      </c>
      <c r="D18" s="5" t="s">
        <v>31</v>
      </c>
      <c r="E18" s="5" t="s">
        <v>32</v>
      </c>
      <c r="F18" s="5" t="s">
        <v>33</v>
      </c>
    </row>
    <row r="19" customFormat="false" ht="15" hidden="false" customHeight="true" outlineLevel="0" collapsed="false">
      <c r="A19" s="6" t="s">
        <v>34</v>
      </c>
      <c r="B19" s="9" t="n">
        <f aca="false">0.8*Assumptions!C41+0.2*Assumptions!C42</f>
        <v>0.000456</v>
      </c>
      <c r="C19" s="9" t="n">
        <f aca="false">0.8*Assumptions!C55/100+0.2*Assumptions!C56/100</f>
        <v>0.0006202</v>
      </c>
      <c r="D19" s="9" t="n">
        <f aca="false">0.8*Assumptions!C64/100+0.2*Assumptions!C65/100</f>
        <v>0.0012902</v>
      </c>
      <c r="E19" s="10" t="n">
        <f aca="false">C19/B19</f>
        <v>1.36008771929825</v>
      </c>
      <c r="F19" s="10" t="n">
        <f aca="false">D19/B19</f>
        <v>2.82938596491228</v>
      </c>
    </row>
    <row r="20" customFormat="false" ht="15" hidden="false" customHeight="true" outlineLevel="0" collapsed="false">
      <c r="A20" s="6" t="s">
        <v>35</v>
      </c>
      <c r="B20" s="9" t="n">
        <f aca="false">0.8*Assumptions!D41+0.2*Assumptions!D42</f>
        <v>0.000929</v>
      </c>
      <c r="C20" s="9" t="n">
        <f aca="false">0.8*Assumptions!D55/100+0.2*Assumptions!D56/100</f>
        <v>0.001223</v>
      </c>
      <c r="D20" s="9" t="n">
        <f aca="false">0.8*Assumptions!D64/100+0.2*Assumptions!D65/100</f>
        <v>0.002743</v>
      </c>
      <c r="E20" s="10" t="n">
        <f aca="false">C20/B20</f>
        <v>1.31646932185145</v>
      </c>
      <c r="F20" s="10" t="n">
        <f aca="false">D20/B20</f>
        <v>2.95263724434876</v>
      </c>
    </row>
    <row r="21" customFormat="false" ht="15" hidden="false" customHeight="true" outlineLevel="0" collapsed="false">
      <c r="A21" s="6" t="s">
        <v>36</v>
      </c>
      <c r="B21" s="9" t="n">
        <f aca="false">0.8*Assumptions!E41+0.2*Assumptions!E42</f>
        <v>0.0023922</v>
      </c>
      <c r="C21" s="9" t="n">
        <f aca="false">0.8*Assumptions!E55/100+0.2*Assumptions!E56/100</f>
        <v>0.0029942</v>
      </c>
      <c r="D21" s="9" t="n">
        <f aca="false">0.8*Assumptions!E64/100+0.2*Assumptions!E65/100</f>
        <v>0.0060942</v>
      </c>
      <c r="E21" s="10" t="n">
        <f aca="false">C21/B21</f>
        <v>1.25165119973246</v>
      </c>
      <c r="F21" s="10" t="n">
        <f aca="false">D21/B21</f>
        <v>2.54752947078004</v>
      </c>
    </row>
    <row r="22" customFormat="false" ht="15" hidden="false" customHeight="true" outlineLevel="0" collapsed="false">
      <c r="A22" s="6" t="s">
        <v>37</v>
      </c>
      <c r="B22" s="11" t="n">
        <f aca="false">'BS2-Hedging Costs'!C18</f>
        <v>1.43597175379427</v>
      </c>
      <c r="C22" s="11" t="n">
        <f aca="false">'BS2-Hedging Costs'!C23</f>
        <v>1.9464586846543</v>
      </c>
      <c r="D22" s="11" t="n">
        <f aca="false">'BS2-Hedging Costs'!C26</f>
        <v>4.20799957841484</v>
      </c>
      <c r="E22" s="10" t="n">
        <f aca="false">C22/B22</f>
        <v>1.35549928437741</v>
      </c>
      <c r="F22" s="10" t="n">
        <f aca="false">D22/B22</f>
        <v>2.93041946493449</v>
      </c>
    </row>
    <row r="24" customFormat="false" ht="15" hidden="false" customHeight="true" outlineLevel="0" collapsed="false">
      <c r="A24" s="4" t="s">
        <v>38</v>
      </c>
    </row>
    <row r="25" customFormat="false" ht="15" hidden="false" customHeight="true" outlineLevel="0" collapsed="false">
      <c r="A25" s="5" t="s">
        <v>39</v>
      </c>
      <c r="B25" s="5" t="s">
        <v>40</v>
      </c>
      <c r="C25" s="5" t="s">
        <v>41</v>
      </c>
      <c r="D25" s="5" t="s">
        <v>42</v>
      </c>
      <c r="E25" s="5" t="s">
        <v>28</v>
      </c>
      <c r="F25" s="5" t="s">
        <v>32</v>
      </c>
      <c r="G25" s="5" t="s">
        <v>33</v>
      </c>
    </row>
    <row r="26" customFormat="false" ht="15" hidden="false" customHeight="true" outlineLevel="0" collapsed="false">
      <c r="A26" s="6" t="s">
        <v>43</v>
      </c>
      <c r="B26" s="12" t="s">
        <v>44</v>
      </c>
      <c r="C26" s="13" t="n">
        <f aca="false">'Buy-Side Summary'!E5/Assumptions!C6*10</f>
        <v>3.035175</v>
      </c>
      <c r="D26" s="10" t="n">
        <f aca="false">'Buy-Side Summary'!E5</f>
        <v>4.46170725</v>
      </c>
      <c r="E26" s="12" t="s">
        <v>34</v>
      </c>
      <c r="F26" s="10" t="n">
        <f aca="false">$E$19</f>
        <v>1.36008771929825</v>
      </c>
      <c r="G26" s="10" t="n">
        <f aca="false">$F$19</f>
        <v>2.82938596491228</v>
      </c>
    </row>
    <row r="27" customFormat="false" ht="15" hidden="false" customHeight="true" outlineLevel="0" collapsed="false">
      <c r="A27" s="6" t="s">
        <v>45</v>
      </c>
      <c r="B27" s="12" t="s">
        <v>46</v>
      </c>
      <c r="C27" s="13" t="n">
        <f aca="false">'Buy-Side Summary'!E6/Assumptions!C12*10</f>
        <v>1.24867109025588</v>
      </c>
      <c r="D27" s="10" t="n">
        <f aca="false">'Buy-Side Summary'!E6</f>
        <v>1.43597175379427</v>
      </c>
      <c r="E27" s="12" t="s">
        <v>47</v>
      </c>
      <c r="F27" s="10" t="n">
        <f aca="false">$E$22</f>
        <v>1.35549928437741</v>
      </c>
      <c r="G27" s="10" t="n">
        <f aca="false">$F$22</f>
        <v>2.93041946493449</v>
      </c>
    </row>
    <row r="28" customFormat="false" ht="15" hidden="false" customHeight="true" outlineLevel="0" collapsed="false">
      <c r="A28" s="6" t="s">
        <v>48</v>
      </c>
      <c r="B28" s="12" t="s">
        <v>46</v>
      </c>
      <c r="C28" s="13" t="n">
        <f aca="false">'Buy-Side Summary'!E7/Assumptions!C12*10</f>
        <v>0.845900054533737</v>
      </c>
      <c r="D28" s="10" t="n">
        <f aca="false">'Buy-Side Summary'!E7</f>
        <v>0.972785062713797</v>
      </c>
      <c r="E28" s="12" t="s">
        <v>34</v>
      </c>
      <c r="F28" s="10" t="n">
        <f aca="false">$E$19</f>
        <v>1.36008771929825</v>
      </c>
      <c r="G28" s="10" t="n">
        <f aca="false">$F$19</f>
        <v>2.82938596491228</v>
      </c>
    </row>
    <row r="29" customFormat="false" ht="15" hidden="false" customHeight="true" outlineLevel="0" collapsed="false">
      <c r="A29" s="6" t="s">
        <v>49</v>
      </c>
      <c r="B29" s="12" t="s">
        <v>46</v>
      </c>
      <c r="C29" s="13" t="n">
        <f aca="false">'Buy-Side Summary'!E8/Assumptions!C12*10</f>
        <v>0.739130434782609</v>
      </c>
      <c r="D29" s="10" t="n">
        <f aca="false">'Buy-Side Summary'!E8</f>
        <v>0.85</v>
      </c>
      <c r="E29" s="12" t="s">
        <v>34</v>
      </c>
      <c r="F29" s="10" t="n">
        <f aca="false">$E$19</f>
        <v>1.36008771929825</v>
      </c>
      <c r="G29" s="10" t="n">
        <f aca="false">$F$19</f>
        <v>2.82938596491228</v>
      </c>
    </row>
    <row r="30" customFormat="false" ht="15" hidden="false" customHeight="true" outlineLevel="0" collapsed="false">
      <c r="A30" s="6" t="s">
        <v>50</v>
      </c>
      <c r="B30" s="12" t="s">
        <v>44</v>
      </c>
      <c r="C30" s="13" t="n">
        <f aca="false">'Buy-Side Summary'!E9/Assumptions!C6*10</f>
        <v>0.79867714222562</v>
      </c>
      <c r="D30" s="10" t="n">
        <f aca="false">'Buy-Side Summary'!E9</f>
        <v>1.17405539907166</v>
      </c>
      <c r="E30" s="12" t="s">
        <v>47</v>
      </c>
      <c r="F30" s="10" t="n">
        <f aca="false">$E$20</f>
        <v>1.31646932185145</v>
      </c>
      <c r="G30" s="10" t="n">
        <f aca="false">$F$20</f>
        <v>2.95263724434876</v>
      </c>
    </row>
    <row r="31" customFormat="false" ht="15" hidden="false" customHeight="true" outlineLevel="0" collapsed="false">
      <c r="A31" s="6" t="s">
        <v>51</v>
      </c>
      <c r="B31" s="12" t="s">
        <v>46</v>
      </c>
      <c r="C31" s="13" t="n">
        <f aca="false">'Buy-Side Summary'!E10/Assumptions!C12*10</f>
        <v>0.44505</v>
      </c>
      <c r="D31" s="10" t="n">
        <f aca="false">'Buy-Side Summary'!E10</f>
        <v>0.5118075</v>
      </c>
      <c r="E31" s="12" t="s">
        <v>34</v>
      </c>
      <c r="F31" s="10" t="n">
        <f aca="false">$E$19</f>
        <v>1.36008771929825</v>
      </c>
      <c r="G31" s="10" t="n">
        <f aca="false">$F$19</f>
        <v>2.82938596491228</v>
      </c>
    </row>
    <row r="32" customFormat="false" ht="15" hidden="false" customHeight="true" outlineLevel="0" collapsed="false">
      <c r="A32" s="6" t="s">
        <v>52</v>
      </c>
      <c r="B32" s="12" t="s">
        <v>44</v>
      </c>
      <c r="C32" s="13" t="n">
        <f aca="false">'Buy-Side Summary'!E11/Assumptions!C6*10</f>
        <v>0.3375</v>
      </c>
      <c r="D32" s="10" t="n">
        <f aca="false">'Buy-Side Summary'!E11</f>
        <v>0.496125</v>
      </c>
      <c r="E32" s="12" t="s">
        <v>34</v>
      </c>
      <c r="F32" s="10" t="n">
        <f aca="false">$E$19</f>
        <v>1.36008771929825</v>
      </c>
      <c r="G32" s="10" t="n">
        <f aca="false">$F$19</f>
        <v>2.82938596491228</v>
      </c>
    </row>
    <row r="33" customFormat="false" ht="15" hidden="false" customHeight="true" outlineLevel="0" collapsed="false">
      <c r="A33" s="6" t="s">
        <v>53</v>
      </c>
      <c r="B33" s="12" t="s">
        <v>46</v>
      </c>
      <c r="C33" s="13" t="n">
        <f aca="false">'Buy-Side Summary'!E12/Assumptions!C12*10</f>
        <v>0.158184782608696</v>
      </c>
      <c r="D33" s="10" t="n">
        <f aca="false">'Buy-Side Summary'!E12</f>
        <v>0.1819125</v>
      </c>
      <c r="E33" s="12" t="s">
        <v>54</v>
      </c>
      <c r="F33" s="10" t="n">
        <f aca="false">$E$21</f>
        <v>1.25165119973246</v>
      </c>
      <c r="G33" s="10" t="n">
        <f aca="false">$F$21</f>
        <v>2.54752947078004</v>
      </c>
    </row>
    <row r="35" customFormat="false" ht="15" hidden="false" customHeight="true" outlineLevel="0" collapsed="false">
      <c r="A35" s="4" t="s">
        <v>55</v>
      </c>
    </row>
    <row r="36" customFormat="false" ht="15" hidden="false" customHeight="true" outlineLevel="0" collapsed="false">
      <c r="A36" s="5" t="s">
        <v>39</v>
      </c>
      <c r="B36" s="5" t="s">
        <v>56</v>
      </c>
      <c r="C36" s="5" t="s">
        <v>57</v>
      </c>
      <c r="D36" s="5" t="s">
        <v>58</v>
      </c>
      <c r="E36" s="5" t="s">
        <v>59</v>
      </c>
      <c r="F36" s="5" t="s">
        <v>60</v>
      </c>
    </row>
    <row r="37" customFormat="false" ht="15" hidden="false" customHeight="true" outlineLevel="0" collapsed="false">
      <c r="A37" s="6" t="s">
        <v>43</v>
      </c>
      <c r="B37" s="14" t="n">
        <f aca="false">IF($B$26="traded",$D$6,$B$6)*$C$26/10000*1000000</f>
        <v>45527.625</v>
      </c>
      <c r="C37" s="14" t="n">
        <f aca="false">IF($B$26="traded",$D$7,$B$7)*$C$26/10000*1000000</f>
        <v>151758.75</v>
      </c>
      <c r="D37" s="14" t="n">
        <f aca="false">IF($B$26="traded",$D$8,$B$8)*$C$26/10000*1000000</f>
        <v>455276.25</v>
      </c>
      <c r="E37" s="14" t="n">
        <f aca="false">C37*$F$26</f>
        <v>206405.212171053</v>
      </c>
      <c r="F37" s="14" t="n">
        <f aca="false">C37*$G$26</f>
        <v>429384.077302632</v>
      </c>
    </row>
    <row r="38" customFormat="false" ht="15" hidden="false" customHeight="true" outlineLevel="0" collapsed="false">
      <c r="A38" s="6" t="s">
        <v>45</v>
      </c>
      <c r="B38" s="14" t="n">
        <f aca="false">IF($B$27="traded",$D$6,$B$6)*$C$27/10000*1000000</f>
        <v>62433.5545127942</v>
      </c>
      <c r="C38" s="14" t="n">
        <f aca="false">IF($B$27="traded",$D$7,$B$7)*$C$27/10000*1000000</f>
        <v>62433.5545127942</v>
      </c>
      <c r="D38" s="14" t="n">
        <f aca="false">IF($B$27="traded",$D$8,$B$8)*$C$27/10000*1000000</f>
        <v>62433.5545127942</v>
      </c>
      <c r="E38" s="14" t="n">
        <f aca="false">C38*$F$27</f>
        <v>84628.6384632304</v>
      </c>
      <c r="F38" s="14" t="n">
        <f aca="false">C38*$G$27</f>
        <v>182956.503409341</v>
      </c>
    </row>
    <row r="39" customFormat="false" ht="15" hidden="false" customHeight="true" outlineLevel="0" collapsed="false">
      <c r="A39" s="6" t="s">
        <v>48</v>
      </c>
      <c r="B39" s="14" t="n">
        <f aca="false">IF($B$28="traded",$D$6,$B$6)*$C$28/10000*1000000</f>
        <v>42295.0027266868</v>
      </c>
      <c r="C39" s="14" t="n">
        <f aca="false">IF($B$28="traded",$D$7,$B$7)*$C$28/10000*1000000</f>
        <v>42295.0027266868</v>
      </c>
      <c r="D39" s="14" t="n">
        <f aca="false">IF($B$28="traded",$D$8,$B$8)*$C$28/10000*1000000</f>
        <v>42295.0027266868</v>
      </c>
      <c r="E39" s="14" t="n">
        <f aca="false">C39*$F$28</f>
        <v>57524.9137962526</v>
      </c>
      <c r="F39" s="14" t="n">
        <f aca="false">C39*$G$28</f>
        <v>119668.887100814</v>
      </c>
    </row>
    <row r="40" customFormat="false" ht="15" hidden="false" customHeight="true" outlineLevel="0" collapsed="false">
      <c r="A40" s="6" t="s">
        <v>49</v>
      </c>
      <c r="B40" s="14" t="n">
        <f aca="false">IF($B$29="traded",$D$6,$B$6)*$C$29/10000*1000000</f>
        <v>36956.5217391304</v>
      </c>
      <c r="C40" s="14" t="n">
        <f aca="false">IF($B$29="traded",$D$7,$B$7)*$C$29/10000*1000000</f>
        <v>36956.5217391304</v>
      </c>
      <c r="D40" s="14" t="n">
        <f aca="false">IF($B$29="traded",$D$8,$B$8)*$C$29/10000*1000000</f>
        <v>36956.5217391304</v>
      </c>
      <c r="E40" s="14" t="n">
        <f aca="false">C40*$F$29</f>
        <v>50264.11136537</v>
      </c>
      <c r="F40" s="14" t="n">
        <f aca="false">C40*$G$29</f>
        <v>104564.263920671</v>
      </c>
    </row>
    <row r="41" customFormat="false" ht="15" hidden="false" customHeight="true" outlineLevel="0" collapsed="false">
      <c r="A41" s="6" t="s">
        <v>50</v>
      </c>
      <c r="B41" s="14" t="n">
        <f aca="false">IF($B$30="traded",$D$6,$B$6)*$C$30/10000*1000000</f>
        <v>11980.1571333843</v>
      </c>
      <c r="C41" s="14" t="n">
        <f aca="false">IF($B$30="traded",$D$7,$B$7)*$C$30/10000*1000000</f>
        <v>39933.857111281</v>
      </c>
      <c r="D41" s="14" t="n">
        <f aca="false">IF($B$30="traded",$D$8,$B$8)*$C$30/10000*1000000</f>
        <v>119801.571333843</v>
      </c>
      <c r="E41" s="14" t="n">
        <f aca="false">C41*$F$30</f>
        <v>52571.6977902009</v>
      </c>
      <c r="F41" s="14" t="n">
        <f aca="false">C41*$G$30</f>
        <v>117910.19381727</v>
      </c>
    </row>
    <row r="42" customFormat="false" ht="15" hidden="false" customHeight="true" outlineLevel="0" collapsed="false">
      <c r="A42" s="6" t="s">
        <v>51</v>
      </c>
      <c r="B42" s="14" t="n">
        <f aca="false">IF($B$31="traded",$D$6,$B$6)*$C$31/10000*1000000</f>
        <v>22252.5</v>
      </c>
      <c r="C42" s="14" t="n">
        <f aca="false">IF($B$31="traded",$D$7,$B$7)*$C$31/10000*1000000</f>
        <v>22252.5</v>
      </c>
      <c r="D42" s="14" t="n">
        <f aca="false">IF($B$31="traded",$D$8,$B$8)*$C$31/10000*1000000</f>
        <v>22252.5</v>
      </c>
      <c r="E42" s="14" t="n">
        <f aca="false">C42*$F$31</f>
        <v>30265.3519736842</v>
      </c>
      <c r="F42" s="14" t="n">
        <f aca="false">C42*$G$31</f>
        <v>62960.9111842105</v>
      </c>
    </row>
    <row r="43" customFormat="false" ht="15" hidden="false" customHeight="true" outlineLevel="0" collapsed="false">
      <c r="A43" s="6" t="s">
        <v>52</v>
      </c>
      <c r="B43" s="14" t="n">
        <f aca="false">IF($B$32="traded",$D$6,$B$6)*$C$32/10000*1000000</f>
        <v>5062.5</v>
      </c>
      <c r="C43" s="14" t="n">
        <f aca="false">IF($B$32="traded",$D$7,$B$7)*$C$32/10000*1000000</f>
        <v>16875</v>
      </c>
      <c r="D43" s="14" t="n">
        <f aca="false">IF($B$32="traded",$D$8,$B$8)*$C$32/10000*1000000</f>
        <v>50625</v>
      </c>
      <c r="E43" s="14" t="n">
        <f aca="false">C43*$F$32</f>
        <v>22951.4802631579</v>
      </c>
      <c r="F43" s="14" t="n">
        <f aca="false">C43*$G$32</f>
        <v>47745.8881578947</v>
      </c>
    </row>
    <row r="44" customFormat="false" ht="15" hidden="false" customHeight="true" outlineLevel="0" collapsed="false">
      <c r="A44" s="6" t="s">
        <v>53</v>
      </c>
      <c r="B44" s="14" t="n">
        <f aca="false">IF($B$33="traded",$D$6,$B$6)*$C$33/10000*1000000</f>
        <v>7909.23913043478</v>
      </c>
      <c r="C44" s="14" t="n">
        <f aca="false">IF($B$33="traded",$D$7,$B$7)*$C$33/10000*1000000</f>
        <v>7909.23913043478</v>
      </c>
      <c r="D44" s="14" t="n">
        <f aca="false">IF($B$33="traded",$D$8,$B$8)*$C$33/10000*1000000</f>
        <v>7909.23913043478</v>
      </c>
      <c r="E44" s="14" t="n">
        <f aca="false">C44*$F$33</f>
        <v>9899.60864657964</v>
      </c>
      <c r="F44" s="14" t="n">
        <f aca="false">C44*$G$33</f>
        <v>20149.0197762293</v>
      </c>
    </row>
    <row r="45" customFormat="false" ht="15" hidden="false" customHeight="true" outlineLevel="0" collapsed="false">
      <c r="A45" s="15" t="s">
        <v>61</v>
      </c>
      <c r="B45" s="16" t="n">
        <f aca="false">SUM(B37:B44)</f>
        <v>234417.100242431</v>
      </c>
      <c r="C45" s="16" t="n">
        <f aca="false">SUM(C37:C44)</f>
        <v>380414.425220327</v>
      </c>
      <c r="D45" s="16" t="n">
        <f aca="false">SUM(D37:D44)</f>
        <v>797549.639442889</v>
      </c>
      <c r="E45" s="16" t="n">
        <f aca="false">SUM(E37:E44)</f>
        <v>514511.014469528</v>
      </c>
      <c r="F45" s="16" t="n">
        <f aca="false">SUM(F37:F44)</f>
        <v>1085339.74466906</v>
      </c>
    </row>
    <row r="46" customFormat="false" ht="15" hidden="false" customHeight="true" outlineLevel="0" collapsed="false">
      <c r="A46" s="17" t="s">
        <v>62</v>
      </c>
      <c r="B46" s="18" t="n">
        <f aca="false">(B37+B41+B43)/($D$6*1000000)*10000</f>
        <v>4.17135214222562</v>
      </c>
      <c r="C46" s="18" t="n">
        <f aca="false">(C37+C41+C43)/($D$7*1000000)*10000</f>
        <v>4.17135214222562</v>
      </c>
      <c r="D46" s="18" t="n">
        <f aca="false">(D37+D41+D43)/($D$8*1000000)*10000</f>
        <v>4.17135214222562</v>
      </c>
      <c r="E46" s="18" t="n">
        <f aca="false">(E37+E41+E43)/($D$7*1000000)*10000</f>
        <v>5.63856780448823</v>
      </c>
      <c r="F46" s="18" t="n">
        <f aca="false">(F37+F41+F43)/($D$7*1000000)*10000</f>
        <v>11.9008031855559</v>
      </c>
    </row>
    <row r="47" customFormat="false" ht="15" hidden="false" customHeight="true" outlineLevel="0" collapsed="false">
      <c r="A47" s="17" t="s">
        <v>63</v>
      </c>
      <c r="B47" s="18" t="n">
        <f aca="false">(B38+B39+B40+B42+B44)/($B$6*1000000)*10000</f>
        <v>3.43693636218093</v>
      </c>
      <c r="C47" s="18" t="n">
        <f aca="false">(C38+C39+C40+C42+C44)/($B$7*1000000)*10000</f>
        <v>3.43693636218093</v>
      </c>
      <c r="D47" s="18" t="n">
        <f aca="false">(D38+D39+D40+D42+D44)/($B$8*1000000)*10000</f>
        <v>3.43693636218093</v>
      </c>
      <c r="E47" s="18" t="n">
        <f aca="false">(E38+E39+E40+E42+E44)/($B$7*1000000)*10000</f>
        <v>4.65165248490234</v>
      </c>
      <c r="F47" s="18" t="n">
        <f aca="false">(F38+F39+F40+F42+F44)/($B$7*1000000)*10000</f>
        <v>9.80599170782533</v>
      </c>
    </row>
    <row r="48" customFormat="false" ht="15" hidden="false" customHeight="true" outlineLevel="0" collapsed="false">
      <c r="A48" s="17" t="s">
        <v>64</v>
      </c>
      <c r="B48" s="18" t="n">
        <f aca="false">B45/($B$6*1000000)*10000</f>
        <v>4.68834200484861</v>
      </c>
      <c r="C48" s="18" t="n">
        <f aca="false">C45/($B$7*1000000)*10000</f>
        <v>7.60828850440655</v>
      </c>
      <c r="D48" s="18" t="n">
        <f aca="false">D45/($B$8*1000000)*10000</f>
        <v>15.9509927888578</v>
      </c>
      <c r="E48" s="18" t="n">
        <f aca="false">E45/($B$7*1000000)*10000</f>
        <v>10.2902202893906</v>
      </c>
      <c r="F48" s="18" t="n">
        <f aca="false">F45/($B$7*1000000)*10000</f>
        <v>21.7067948933813</v>
      </c>
    </row>
    <row r="51" customFormat="false" ht="15" hidden="false" customHeight="true" outlineLevel="0" collapsed="false">
      <c r="A51" s="4" t="s">
        <v>65</v>
      </c>
    </row>
    <row r="52" customFormat="false" ht="15" hidden="false" customHeight="true" outlineLevel="0" collapsed="false">
      <c r="A52" s="5" t="s">
        <v>39</v>
      </c>
      <c r="B52" s="5" t="s">
        <v>56</v>
      </c>
      <c r="C52" s="5" t="s">
        <v>57</v>
      </c>
      <c r="D52" s="5" t="s">
        <v>58</v>
      </c>
      <c r="E52" s="5" t="s">
        <v>59</v>
      </c>
      <c r="F52" s="5" t="s">
        <v>60</v>
      </c>
    </row>
    <row r="53" customFormat="false" ht="15" hidden="false" customHeight="true" outlineLevel="0" collapsed="false">
      <c r="A53" s="6" t="s">
        <v>43</v>
      </c>
      <c r="B53" s="14" t="n">
        <f aca="false">IF($B$26="traded",$D$9,$B$9)*$C$26/10000*1000000</f>
        <v>455276.25</v>
      </c>
      <c r="C53" s="14" t="n">
        <f aca="false">IF($B$26="traded",$D$10,$B$10)*$C$26/10000*1000000</f>
        <v>1517587.5</v>
      </c>
      <c r="D53" s="14" t="n">
        <f aca="false">IF($B$26="traded",$D$11,$B$11)*$C$26/10000*1000000</f>
        <v>4552762.5</v>
      </c>
      <c r="E53" s="14" t="n">
        <f aca="false">C53*$F$26</f>
        <v>2064052.12171053</v>
      </c>
      <c r="F53" s="14" t="n">
        <f aca="false">C53*$G$26</f>
        <v>4293840.77302632</v>
      </c>
    </row>
    <row r="54" customFormat="false" ht="15" hidden="false" customHeight="true" outlineLevel="0" collapsed="false">
      <c r="A54" s="6" t="s">
        <v>45</v>
      </c>
      <c r="B54" s="14" t="n">
        <f aca="false">IF($B$27="traded",$D$9,$B$9)*$C$27/10000*1000000</f>
        <v>624335.545127942</v>
      </c>
      <c r="C54" s="14" t="n">
        <f aca="false">IF($B$27="traded",$D$10,$B$10)*$C$27/10000*1000000</f>
        <v>624335.545127942</v>
      </c>
      <c r="D54" s="14" t="n">
        <f aca="false">IF($B$27="traded",$D$11,$B$11)*$C$27/10000*1000000</f>
        <v>624335.545127942</v>
      </c>
      <c r="E54" s="14" t="n">
        <f aca="false">C54*$F$27</f>
        <v>846286.384632305</v>
      </c>
      <c r="F54" s="14" t="n">
        <f aca="false">C54*$G$27</f>
        <v>1829565.03409341</v>
      </c>
    </row>
    <row r="55" customFormat="false" ht="15" hidden="false" customHeight="true" outlineLevel="0" collapsed="false">
      <c r="A55" s="6" t="s">
        <v>48</v>
      </c>
      <c r="B55" s="14" t="n">
        <f aca="false">IF($B$28="traded",$D$9,$B$9)*$C$28/10000*1000000</f>
        <v>422950.027266868</v>
      </c>
      <c r="C55" s="14" t="n">
        <f aca="false">IF($B$28="traded",$D$10,$B$10)*$C$28/10000*1000000</f>
        <v>422950.027266868</v>
      </c>
      <c r="D55" s="14" t="n">
        <f aca="false">IF($B$28="traded",$D$11,$B$11)*$C$28/10000*1000000</f>
        <v>422950.027266868</v>
      </c>
      <c r="E55" s="14" t="n">
        <f aca="false">C55*$F$28</f>
        <v>575249.137962526</v>
      </c>
      <c r="F55" s="14" t="n">
        <f aca="false">C55*$G$28</f>
        <v>1196688.87100814</v>
      </c>
    </row>
    <row r="56" customFormat="false" ht="15" hidden="false" customHeight="true" outlineLevel="0" collapsed="false">
      <c r="A56" s="6" t="s">
        <v>49</v>
      </c>
      <c r="B56" s="14" t="n">
        <f aca="false">IF($B$29="traded",$D$9,$B$9)*$C$29/10000*1000000</f>
        <v>369565.217391304</v>
      </c>
      <c r="C56" s="14" t="n">
        <f aca="false">IF($B$29="traded",$D$10,$B$10)*$C$29/10000*1000000</f>
        <v>369565.217391304</v>
      </c>
      <c r="D56" s="14" t="n">
        <f aca="false">IF($B$29="traded",$D$11,$B$11)*$C$29/10000*1000000</f>
        <v>369565.217391304</v>
      </c>
      <c r="E56" s="14" t="n">
        <f aca="false">C56*$F$29</f>
        <v>502641.1136537</v>
      </c>
      <c r="F56" s="14" t="n">
        <f aca="false">C56*$G$29</f>
        <v>1045642.63920671</v>
      </c>
    </row>
    <row r="57" customFormat="false" ht="15" hidden="false" customHeight="true" outlineLevel="0" collapsed="false">
      <c r="A57" s="6" t="s">
        <v>50</v>
      </c>
      <c r="B57" s="14" t="n">
        <f aca="false">IF($B$30="traded",$D$9,$B$9)*$C$30/10000*1000000</f>
        <v>119801.571333843</v>
      </c>
      <c r="C57" s="14" t="n">
        <f aca="false">IF($B$30="traded",$D$10,$B$10)*$C$30/10000*1000000</f>
        <v>399338.57111281</v>
      </c>
      <c r="D57" s="14" t="n">
        <f aca="false">IF($B$30="traded",$D$11,$B$11)*$C$30/10000*1000000</f>
        <v>1198015.71333843</v>
      </c>
      <c r="E57" s="14" t="n">
        <f aca="false">C57*$F$30</f>
        <v>525716.977902009</v>
      </c>
      <c r="F57" s="14" t="n">
        <f aca="false">C57*$G$30</f>
        <v>1179101.9381727</v>
      </c>
    </row>
    <row r="58" customFormat="false" ht="15" hidden="false" customHeight="true" outlineLevel="0" collapsed="false">
      <c r="A58" s="6" t="s">
        <v>51</v>
      </c>
      <c r="B58" s="14" t="n">
        <f aca="false">IF($B$31="traded",$D$9,$B$9)*$C$31/10000*1000000</f>
        <v>222525</v>
      </c>
      <c r="C58" s="14" t="n">
        <f aca="false">IF($B$31="traded",$D$10,$B$10)*$C$31/10000*1000000</f>
        <v>222525</v>
      </c>
      <c r="D58" s="14" t="n">
        <f aca="false">IF($B$31="traded",$D$11,$B$11)*$C$31/10000*1000000</f>
        <v>222525</v>
      </c>
      <c r="E58" s="14" t="n">
        <f aca="false">C58*$F$31</f>
        <v>302653.519736842</v>
      </c>
      <c r="F58" s="14" t="n">
        <f aca="false">C58*$G$31</f>
        <v>629609.111842105</v>
      </c>
    </row>
    <row r="59" customFormat="false" ht="15" hidden="false" customHeight="true" outlineLevel="0" collapsed="false">
      <c r="A59" s="6" t="s">
        <v>52</v>
      </c>
      <c r="B59" s="14" t="n">
        <f aca="false">IF($B$32="traded",$D$9,$B$9)*$C$32/10000*1000000</f>
        <v>50625</v>
      </c>
      <c r="C59" s="14" t="n">
        <f aca="false">IF($B$32="traded",$D$10,$B$10)*$C$32/10000*1000000</f>
        <v>168750</v>
      </c>
      <c r="D59" s="14" t="n">
        <f aca="false">IF($B$32="traded",$D$11,$B$11)*$C$32/10000*1000000</f>
        <v>506250</v>
      </c>
      <c r="E59" s="14" t="n">
        <f aca="false">C59*$F$32</f>
        <v>229514.802631579</v>
      </c>
      <c r="F59" s="14" t="n">
        <f aca="false">C59*$G$32</f>
        <v>477458.881578947</v>
      </c>
    </row>
    <row r="60" customFormat="false" ht="15" hidden="false" customHeight="true" outlineLevel="0" collapsed="false">
      <c r="A60" s="6" t="s">
        <v>53</v>
      </c>
      <c r="B60" s="14" t="n">
        <f aca="false">IF($B$33="traded",$D$9,$B$9)*$C$33/10000*1000000</f>
        <v>79092.3913043478</v>
      </c>
      <c r="C60" s="14" t="n">
        <f aca="false">IF($B$33="traded",$D$10,$B$10)*$C$33/10000*1000000</f>
        <v>79092.3913043478</v>
      </c>
      <c r="D60" s="14" t="n">
        <f aca="false">IF($B$33="traded",$D$11,$B$11)*$C$33/10000*1000000</f>
        <v>79092.3913043478</v>
      </c>
      <c r="E60" s="14" t="n">
        <f aca="false">C60*$F$33</f>
        <v>98996.0864657964</v>
      </c>
      <c r="F60" s="14" t="n">
        <f aca="false">C60*$G$33</f>
        <v>201490.197762293</v>
      </c>
    </row>
    <row r="61" customFormat="false" ht="15" hidden="false" customHeight="true" outlineLevel="0" collapsed="false">
      <c r="A61" s="15" t="s">
        <v>61</v>
      </c>
      <c r="B61" s="16" t="n">
        <f aca="false">SUM(B53:B60)</f>
        <v>2344171.00242431</v>
      </c>
      <c r="C61" s="16" t="n">
        <f aca="false">SUM(C53:C60)</f>
        <v>3804144.25220327</v>
      </c>
      <c r="D61" s="16" t="n">
        <f aca="false">SUM(D53:D60)</f>
        <v>7975496.39442889</v>
      </c>
      <c r="E61" s="16" t="n">
        <f aca="false">SUM(E53:E60)</f>
        <v>5145110.14469528</v>
      </c>
      <c r="F61" s="16" t="n">
        <f aca="false">SUM(F53:F60)</f>
        <v>10853397.4466906</v>
      </c>
    </row>
    <row r="62" customFormat="false" ht="15" hidden="false" customHeight="true" outlineLevel="0" collapsed="false">
      <c r="A62" s="17" t="s">
        <v>62</v>
      </c>
      <c r="B62" s="18" t="n">
        <f aca="false">(B53+B57+B59)/($D$9*1000000)*10000</f>
        <v>4.17135214222562</v>
      </c>
      <c r="C62" s="18" t="n">
        <f aca="false">(C53+C57+C59)/($D$10*1000000)*10000</f>
        <v>4.17135214222562</v>
      </c>
      <c r="D62" s="18" t="n">
        <f aca="false">(D53+D57+D59)/($D$11*1000000)*10000</f>
        <v>4.17135214222562</v>
      </c>
      <c r="E62" s="18" t="n">
        <f aca="false">(E53+E57+E59)/($D$10*1000000)*10000</f>
        <v>5.63856780448823</v>
      </c>
      <c r="F62" s="18" t="n">
        <f aca="false">(F53+F57+F59)/($D$10*1000000)*10000</f>
        <v>11.9008031855559</v>
      </c>
    </row>
    <row r="63" customFormat="false" ht="15" hidden="false" customHeight="true" outlineLevel="0" collapsed="false">
      <c r="A63" s="17" t="s">
        <v>63</v>
      </c>
      <c r="B63" s="18" t="n">
        <f aca="false">(B54+B55+B56+B58+B60)/($B$9*1000000)*10000</f>
        <v>3.43693636218093</v>
      </c>
      <c r="C63" s="18" t="n">
        <f aca="false">(C54+C55+C56+C58+C60)/($B$10*1000000)*10000</f>
        <v>3.43693636218093</v>
      </c>
      <c r="D63" s="18" t="n">
        <f aca="false">(D54+D55+D56+D58+D60)/($B$11*1000000)*10000</f>
        <v>3.43693636218093</v>
      </c>
      <c r="E63" s="18" t="n">
        <f aca="false">(E54+E55+E56+E58+E60)/($B$10*1000000)*10000</f>
        <v>4.65165248490234</v>
      </c>
      <c r="F63" s="18" t="n">
        <f aca="false">(F54+F55+F56+F58+F60)/($B$10*1000000)*10000</f>
        <v>9.80599170782533</v>
      </c>
    </row>
    <row r="64" customFormat="false" ht="15" hidden="false" customHeight="true" outlineLevel="0" collapsed="false">
      <c r="A64" s="17" t="s">
        <v>64</v>
      </c>
      <c r="B64" s="18" t="n">
        <f aca="false">B61/($B$9*1000000)*10000</f>
        <v>4.68834200484861</v>
      </c>
      <c r="C64" s="18" t="n">
        <f aca="false">C61/($B$10*1000000)*10000</f>
        <v>7.60828850440655</v>
      </c>
      <c r="D64" s="18" t="n">
        <f aca="false">D61/($B$11*1000000)*10000</f>
        <v>15.9509927888578</v>
      </c>
      <c r="E64" s="18" t="n">
        <f aca="false">E61/($B$10*1000000)*10000</f>
        <v>10.2902202893906</v>
      </c>
      <c r="F64" s="18" t="n">
        <f aca="false">F61/($B$10*1000000)*10000</f>
        <v>21.7067948933812</v>
      </c>
    </row>
    <row r="67" customFormat="false" ht="15" hidden="false" customHeight="true" outlineLevel="0" collapsed="false">
      <c r="A67" s="4" t="s">
        <v>66</v>
      </c>
    </row>
    <row r="68" customFormat="false" ht="15" hidden="false" customHeight="true" outlineLevel="0" collapsed="false">
      <c r="A68" s="5" t="s">
        <v>39</v>
      </c>
      <c r="B68" s="5" t="s">
        <v>56</v>
      </c>
      <c r="C68" s="5" t="s">
        <v>57</v>
      </c>
      <c r="D68" s="5" t="s">
        <v>58</v>
      </c>
      <c r="E68" s="5" t="s">
        <v>59</v>
      </c>
      <c r="F68" s="5" t="s">
        <v>60</v>
      </c>
    </row>
    <row r="69" customFormat="false" ht="15" hidden="false" customHeight="true" outlineLevel="0" collapsed="false">
      <c r="A69" s="6" t="s">
        <v>43</v>
      </c>
      <c r="B69" s="14" t="n">
        <f aca="false">IF($B$26="traded",$D$12,$B$12)*$C$26/10000*1000000</f>
        <v>4552762.5</v>
      </c>
      <c r="C69" s="14" t="n">
        <f aca="false">IF($B$26="traded",$D$13,$B$13)*$C$26/10000*1000000</f>
        <v>15175875</v>
      </c>
      <c r="D69" s="14" t="n">
        <f aca="false">IF($B$26="traded",$D$14,$B$14)*$C$26/10000*1000000</f>
        <v>45527625</v>
      </c>
      <c r="E69" s="14" t="n">
        <f aca="false">C69*$F$26</f>
        <v>20640521.2171053</v>
      </c>
      <c r="F69" s="14" t="n">
        <f aca="false">C69*$G$26</f>
        <v>42938407.7302632</v>
      </c>
    </row>
    <row r="70" customFormat="false" ht="15" hidden="false" customHeight="true" outlineLevel="0" collapsed="false">
      <c r="A70" s="6" t="s">
        <v>45</v>
      </c>
      <c r="B70" s="14" t="n">
        <f aca="false">IF($B$27="traded",$D$12,$B$12)*$C$27/10000*1000000</f>
        <v>6243355.45127942</v>
      </c>
      <c r="C70" s="14" t="n">
        <f aca="false">IF($B$27="traded",$D$13,$B$13)*$C$27/10000*1000000</f>
        <v>6243355.45127942</v>
      </c>
      <c r="D70" s="14" t="n">
        <f aca="false">IF($B$27="traded",$D$14,$B$14)*$C$27/10000*1000000</f>
        <v>6243355.45127942</v>
      </c>
      <c r="E70" s="14" t="n">
        <f aca="false">C70*$F$27</f>
        <v>8462863.84632305</v>
      </c>
      <c r="F70" s="14" t="n">
        <f aca="false">C70*$G$27</f>
        <v>18295650.3409341</v>
      </c>
    </row>
    <row r="71" customFormat="false" ht="15" hidden="false" customHeight="true" outlineLevel="0" collapsed="false">
      <c r="A71" s="6" t="s">
        <v>48</v>
      </c>
      <c r="B71" s="14" t="n">
        <f aca="false">IF($B$28="traded",$D$12,$B$12)*$C$28/10000*1000000</f>
        <v>4229500.27266868</v>
      </c>
      <c r="C71" s="14" t="n">
        <f aca="false">IF($B$28="traded",$D$13,$B$13)*$C$28/10000*1000000</f>
        <v>4229500.27266868</v>
      </c>
      <c r="D71" s="14" t="n">
        <f aca="false">IF($B$28="traded",$D$14,$B$14)*$C$28/10000*1000000</f>
        <v>4229500.27266868</v>
      </c>
      <c r="E71" s="14" t="n">
        <f aca="false">C71*$F$28</f>
        <v>5752491.37962526</v>
      </c>
      <c r="F71" s="14" t="n">
        <f aca="false">C71*$G$28</f>
        <v>11966888.7100814</v>
      </c>
    </row>
    <row r="72" customFormat="false" ht="15" hidden="false" customHeight="true" outlineLevel="0" collapsed="false">
      <c r="A72" s="6" t="s">
        <v>49</v>
      </c>
      <c r="B72" s="14" t="n">
        <f aca="false">IF($B$29="traded",$D$12,$B$12)*$C$29/10000*1000000</f>
        <v>3695652.17391304</v>
      </c>
      <c r="C72" s="14" t="n">
        <f aca="false">IF($B$29="traded",$D$13,$B$13)*$C$29/10000*1000000</f>
        <v>3695652.17391304</v>
      </c>
      <c r="D72" s="14" t="n">
        <f aca="false">IF($B$29="traded",$D$14,$B$14)*$C$29/10000*1000000</f>
        <v>3695652.17391304</v>
      </c>
      <c r="E72" s="14" t="n">
        <f aca="false">C72*$F$29</f>
        <v>5026411.136537</v>
      </c>
      <c r="F72" s="14" t="n">
        <f aca="false">C72*$G$29</f>
        <v>10456426.3920671</v>
      </c>
    </row>
    <row r="73" customFormat="false" ht="15" hidden="false" customHeight="true" outlineLevel="0" collapsed="false">
      <c r="A73" s="6" t="s">
        <v>50</v>
      </c>
      <c r="B73" s="14" t="n">
        <f aca="false">IF($B$30="traded",$D$12,$B$12)*$C$30/10000*1000000</f>
        <v>1198015.71333843</v>
      </c>
      <c r="C73" s="14" t="n">
        <f aca="false">IF($B$30="traded",$D$13,$B$13)*$C$30/10000*1000000</f>
        <v>3993385.7111281</v>
      </c>
      <c r="D73" s="14" t="n">
        <f aca="false">IF($B$30="traded",$D$14,$B$14)*$C$30/10000*1000000</f>
        <v>11980157.1333843</v>
      </c>
      <c r="E73" s="14" t="n">
        <f aca="false">C73*$F$30</f>
        <v>5257169.77902009</v>
      </c>
      <c r="F73" s="14" t="n">
        <f aca="false">C73*$G$30</f>
        <v>11791019.381727</v>
      </c>
    </row>
    <row r="74" customFormat="false" ht="15" hidden="false" customHeight="true" outlineLevel="0" collapsed="false">
      <c r="A74" s="6" t="s">
        <v>51</v>
      </c>
      <c r="B74" s="14" t="n">
        <f aca="false">IF($B$31="traded",$D$12,$B$12)*$C$31/10000*1000000</f>
        <v>2225250</v>
      </c>
      <c r="C74" s="14" t="n">
        <f aca="false">IF($B$31="traded",$D$13,$B$13)*$C$31/10000*1000000</f>
        <v>2225250</v>
      </c>
      <c r="D74" s="14" t="n">
        <f aca="false">IF($B$31="traded",$D$14,$B$14)*$C$31/10000*1000000</f>
        <v>2225250</v>
      </c>
      <c r="E74" s="14" t="n">
        <f aca="false">C74*$F$31</f>
        <v>3026535.19736842</v>
      </c>
      <c r="F74" s="14" t="n">
        <f aca="false">C74*$G$31</f>
        <v>6296091.11842106</v>
      </c>
    </row>
    <row r="75" customFormat="false" ht="15" hidden="false" customHeight="true" outlineLevel="0" collapsed="false">
      <c r="A75" s="6" t="s">
        <v>52</v>
      </c>
      <c r="B75" s="14" t="n">
        <f aca="false">IF($B$32="traded",$D$12,$B$12)*$C$32/10000*1000000</f>
        <v>506250</v>
      </c>
      <c r="C75" s="14" t="n">
        <f aca="false">IF($B$32="traded",$D$13,$B$13)*$C$32/10000*1000000</f>
        <v>1687500</v>
      </c>
      <c r="D75" s="14" t="n">
        <f aca="false">IF($B$32="traded",$D$14,$B$14)*$C$32/10000*1000000</f>
        <v>5062500</v>
      </c>
      <c r="E75" s="14" t="n">
        <f aca="false">C75*$F$32</f>
        <v>2295148.02631579</v>
      </c>
      <c r="F75" s="14" t="n">
        <f aca="false">C75*$G$32</f>
        <v>4774588.81578947</v>
      </c>
    </row>
    <row r="76" customFormat="false" ht="15" hidden="false" customHeight="true" outlineLevel="0" collapsed="false">
      <c r="A76" s="6" t="s">
        <v>53</v>
      </c>
      <c r="B76" s="14" t="n">
        <f aca="false">IF($B$33="traded",$D$12,$B$12)*$C$33/10000*1000000</f>
        <v>790923.913043478</v>
      </c>
      <c r="C76" s="14" t="n">
        <f aca="false">IF($B$33="traded",$D$13,$B$13)*$C$33/10000*1000000</f>
        <v>790923.913043478</v>
      </c>
      <c r="D76" s="14" t="n">
        <f aca="false">IF($B$33="traded",$D$14,$B$14)*$C$33/10000*1000000</f>
        <v>790923.913043478</v>
      </c>
      <c r="E76" s="14" t="n">
        <f aca="false">C76*$F$33</f>
        <v>989960.864657964</v>
      </c>
      <c r="F76" s="14" t="n">
        <f aca="false">C76*$G$33</f>
        <v>2014901.97762293</v>
      </c>
    </row>
    <row r="77" customFormat="false" ht="15" hidden="false" customHeight="true" outlineLevel="0" collapsed="false">
      <c r="A77" s="15" t="s">
        <v>61</v>
      </c>
      <c r="B77" s="16" t="n">
        <f aca="false">SUM(B69:B76)</f>
        <v>23441710.0242431</v>
      </c>
      <c r="C77" s="16" t="n">
        <f aca="false">SUM(C69:C76)</f>
        <v>38041442.5220327</v>
      </c>
      <c r="D77" s="16" t="n">
        <f aca="false">SUM(D69:D76)</f>
        <v>79754963.9442889</v>
      </c>
      <c r="E77" s="16" t="n">
        <f aca="false">SUM(E69:E76)</f>
        <v>51451101.4469528</v>
      </c>
      <c r="F77" s="16" t="n">
        <f aca="false">SUM(F69:F76)</f>
        <v>108533974.466906</v>
      </c>
    </row>
    <row r="78" customFormat="false" ht="15" hidden="false" customHeight="true" outlineLevel="0" collapsed="false">
      <c r="A78" s="17" t="s">
        <v>62</v>
      </c>
      <c r="B78" s="18" t="n">
        <f aca="false">(B69+B73+B75)/($D$12*1000000)*10000</f>
        <v>4.17135214222562</v>
      </c>
      <c r="C78" s="18" t="n">
        <f aca="false">(C69+C73+C75)/($D$13*1000000)*10000</f>
        <v>4.17135214222562</v>
      </c>
      <c r="D78" s="18" t="n">
        <f aca="false">(D69+D73+D75)/($D$14*1000000)*10000</f>
        <v>4.17135214222562</v>
      </c>
      <c r="E78" s="18" t="n">
        <f aca="false">(E69+E73+E75)/($D$13*1000000)*10000</f>
        <v>5.63856780448823</v>
      </c>
      <c r="F78" s="18" t="n">
        <f aca="false">(F69+F73+F75)/($D$13*1000000)*10000</f>
        <v>11.9008031855559</v>
      </c>
    </row>
    <row r="79" customFormat="false" ht="15" hidden="false" customHeight="true" outlineLevel="0" collapsed="false">
      <c r="A79" s="17" t="s">
        <v>63</v>
      </c>
      <c r="B79" s="18" t="n">
        <f aca="false">(B70+B71+B72+B74+B76)/($B$12*1000000)*10000</f>
        <v>3.43693636218093</v>
      </c>
      <c r="C79" s="18" t="n">
        <f aca="false">(C70+C71+C72+C74+C76)/($B$13*1000000)*10000</f>
        <v>3.43693636218093</v>
      </c>
      <c r="D79" s="18" t="n">
        <f aca="false">(D70+D71+D72+D74+D76)/($B$14*1000000)*10000</f>
        <v>3.43693636218093</v>
      </c>
      <c r="E79" s="18" t="n">
        <f aca="false">(E70+E71+E72+E74+E76)/($B$13*1000000)*10000</f>
        <v>4.65165248490234</v>
      </c>
      <c r="F79" s="18" t="n">
        <f aca="false">(F70+F71+F72+F74+F76)/($B$13*1000000)*10000</f>
        <v>9.80599170782533</v>
      </c>
    </row>
    <row r="80" customFormat="false" ht="15" hidden="false" customHeight="true" outlineLevel="0" collapsed="false">
      <c r="A80" s="17" t="s">
        <v>64</v>
      </c>
      <c r="B80" s="18" t="n">
        <f aca="false">B77/($B$12*1000000)*10000</f>
        <v>4.68834200484861</v>
      </c>
      <c r="C80" s="18" t="n">
        <f aca="false">C77/($B$13*1000000)*10000</f>
        <v>7.60828850440655</v>
      </c>
      <c r="D80" s="18" t="n">
        <f aca="false">D77/($B$14*1000000)*10000</f>
        <v>15.9509927888578</v>
      </c>
      <c r="E80" s="18" t="n">
        <f aca="false">E77/($B$13*1000000)*10000</f>
        <v>10.2902202893906</v>
      </c>
      <c r="F80" s="18" t="n">
        <f aca="false">F77/($B$13*1000000)*10000</f>
        <v>21.7067948933813</v>
      </c>
    </row>
    <row r="83" customFormat="false" ht="15" hidden="false" customHeight="true" outlineLevel="0" collapsed="false">
      <c r="A83" s="4" t="s">
        <v>67</v>
      </c>
    </row>
    <row r="84" customFormat="false" ht="15" hidden="false" customHeight="true" outlineLevel="0" collapsed="false">
      <c r="A84" s="3" t="s">
        <v>68</v>
      </c>
    </row>
    <row r="86" customFormat="false" ht="15" hidden="false" customHeight="true" outlineLevel="0" collapsed="false">
      <c r="A86" s="4" t="s">
        <v>69</v>
      </c>
      <c r="C86" s="19" t="s">
        <v>70</v>
      </c>
      <c r="E86" s="19" t="s">
        <v>71</v>
      </c>
    </row>
    <row r="87" customFormat="false" ht="15" hidden="false" customHeight="true" outlineLevel="0" collapsed="false">
      <c r="A87" s="20" t="s">
        <v>72</v>
      </c>
      <c r="B87" s="20"/>
      <c r="C87" s="20"/>
      <c r="D87" s="20"/>
      <c r="E87" s="20"/>
      <c r="F87" s="20"/>
    </row>
    <row r="90" customFormat="false" ht="15" hidden="false" customHeight="true" outlineLevel="0" collapsed="false">
      <c r="A90" s="4" t="s">
        <v>73</v>
      </c>
      <c r="C90" s="19" t="s">
        <v>74</v>
      </c>
      <c r="E90" s="19" t="s">
        <v>75</v>
      </c>
    </row>
    <row r="91" customFormat="false" ht="15" hidden="false" customHeight="true" outlineLevel="0" collapsed="false">
      <c r="A91" s="20" t="s">
        <v>76</v>
      </c>
      <c r="B91" s="20"/>
      <c r="C91" s="20"/>
      <c r="D91" s="20"/>
      <c r="E91" s="20"/>
      <c r="F91" s="20"/>
    </row>
    <row r="94" customFormat="false" ht="15" hidden="false" customHeight="true" outlineLevel="0" collapsed="false">
      <c r="A94" s="4" t="s">
        <v>77</v>
      </c>
      <c r="C94" s="19" t="s">
        <v>70</v>
      </c>
      <c r="E94" s="19" t="s">
        <v>78</v>
      </c>
    </row>
    <row r="95" customFormat="false" ht="15" hidden="false" customHeight="true" outlineLevel="0" collapsed="false">
      <c r="A95" s="20" t="s">
        <v>79</v>
      </c>
      <c r="B95" s="20"/>
      <c r="C95" s="20"/>
      <c r="D95" s="20"/>
      <c r="E95" s="20"/>
      <c r="F95" s="20"/>
    </row>
    <row r="98" customFormat="false" ht="15" hidden="false" customHeight="true" outlineLevel="0" collapsed="false">
      <c r="A98" s="4" t="s">
        <v>80</v>
      </c>
      <c r="C98" s="19" t="s">
        <v>81</v>
      </c>
      <c r="E98" s="19" t="s">
        <v>82</v>
      </c>
    </row>
    <row r="99" customFormat="false" ht="15" hidden="false" customHeight="true" outlineLevel="0" collapsed="false">
      <c r="A99" s="20" t="s">
        <v>83</v>
      </c>
      <c r="B99" s="20"/>
      <c r="C99" s="20"/>
      <c r="D99" s="20"/>
      <c r="E99" s="20"/>
      <c r="F99" s="20"/>
    </row>
    <row r="102" customFormat="false" ht="15" hidden="false" customHeight="true" outlineLevel="0" collapsed="false">
      <c r="A102" s="4" t="s">
        <v>84</v>
      </c>
      <c r="C102" s="19" t="s">
        <v>85</v>
      </c>
      <c r="E102" s="19" t="s">
        <v>86</v>
      </c>
    </row>
    <row r="103" customFormat="false" ht="15" hidden="false" customHeight="true" outlineLevel="0" collapsed="false">
      <c r="A103" s="20" t="s">
        <v>87</v>
      </c>
      <c r="B103" s="20"/>
      <c r="C103" s="20"/>
      <c r="D103" s="20"/>
      <c r="E103" s="20"/>
      <c r="F103" s="20"/>
    </row>
    <row r="106" customFormat="false" ht="15" hidden="false" customHeight="true" outlineLevel="0" collapsed="false">
      <c r="A106" s="4" t="s">
        <v>88</v>
      </c>
      <c r="C106" s="19" t="s">
        <v>74</v>
      </c>
      <c r="E106" s="19" t="s">
        <v>89</v>
      </c>
    </row>
    <row r="107" customFormat="false" ht="15" hidden="false" customHeight="true" outlineLevel="0" collapsed="false">
      <c r="A107" s="20" t="s">
        <v>90</v>
      </c>
      <c r="B107" s="20"/>
      <c r="C107" s="20"/>
      <c r="D107" s="20"/>
      <c r="E107" s="20"/>
      <c r="F107" s="20"/>
    </row>
    <row r="110" customFormat="false" ht="15" hidden="false" customHeight="true" outlineLevel="0" collapsed="false">
      <c r="A110" s="4" t="s">
        <v>91</v>
      </c>
      <c r="C110" s="19" t="s">
        <v>92</v>
      </c>
      <c r="E110" s="19" t="s">
        <v>93</v>
      </c>
    </row>
    <row r="111" customFormat="false" ht="15" hidden="false" customHeight="true" outlineLevel="0" collapsed="false">
      <c r="A111" s="20" t="s">
        <v>94</v>
      </c>
      <c r="B111" s="20"/>
      <c r="C111" s="20"/>
      <c r="D111" s="20"/>
      <c r="E111" s="20"/>
      <c r="F111" s="20"/>
    </row>
    <row r="114" customFormat="false" ht="15" hidden="false" customHeight="true" outlineLevel="0" collapsed="false">
      <c r="A114" s="4" t="s">
        <v>95</v>
      </c>
      <c r="C114" s="19" t="s">
        <v>81</v>
      </c>
      <c r="E114" s="19" t="s">
        <v>96</v>
      </c>
    </row>
    <row r="115" customFormat="false" ht="15" hidden="false" customHeight="true" outlineLevel="0" collapsed="false">
      <c r="A115" s="20" t="s">
        <v>97</v>
      </c>
      <c r="B115" s="20"/>
      <c r="C115" s="20"/>
      <c r="D115" s="20"/>
      <c r="E115" s="20"/>
      <c r="F115" s="20"/>
    </row>
  </sheetData>
  <mergeCells count="8">
    <mergeCell ref="A87:F87"/>
    <mergeCell ref="A91:F91"/>
    <mergeCell ref="A95:F95"/>
    <mergeCell ref="A99:F99"/>
    <mergeCell ref="A103:F103"/>
    <mergeCell ref="A107:F107"/>
    <mergeCell ref="A111:F111"/>
    <mergeCell ref="A115:F115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5"/>
    <col collapsed="false" customWidth="true" hidden="false" outlineLevel="0" max="2" min="2" style="1" width="4"/>
    <col collapsed="false" customWidth="true" hidden="false" outlineLevel="0" max="3" min="3" style="1" width="20"/>
    <col collapsed="false" customWidth="true" hidden="false" outlineLevel="0" max="4" min="4" style="1" width="16"/>
    <col collapsed="false" customWidth="true" hidden="false" outlineLevel="0" max="5" min="5" style="1" width="35"/>
  </cols>
  <sheetData>
    <row r="1" customFormat="false" ht="17.25" hidden="false" customHeight="true" outlineLevel="0" collapsed="false">
      <c r="A1" s="38" t="s">
        <v>352</v>
      </c>
      <c r="B1" s="38"/>
      <c r="C1" s="38"/>
      <c r="D1" s="38"/>
      <c r="E1" s="38"/>
    </row>
    <row r="3" customFormat="false" ht="15" hidden="false" customHeight="true" outlineLevel="0" collapsed="false">
      <c r="A3" s="77" t="s">
        <v>334</v>
      </c>
      <c r="C3" s="62" t="s">
        <v>197</v>
      </c>
      <c r="D3" s="62" t="s">
        <v>198</v>
      </c>
      <c r="E3" s="62" t="s">
        <v>335</v>
      </c>
    </row>
    <row r="4" customFormat="false" ht="15" hidden="false" customHeight="true" outlineLevel="0" collapsed="false">
      <c r="A4" s="53" t="s">
        <v>353</v>
      </c>
      <c r="C4" s="85" t="n">
        <f aca="false">Assumptions!C18</f>
        <v>7.6</v>
      </c>
      <c r="D4" s="53" t="s">
        <v>213</v>
      </c>
      <c r="E4" s="39" t="s">
        <v>337</v>
      </c>
    </row>
    <row r="5" customFormat="false" ht="15" hidden="false" customHeight="true" outlineLevel="0" collapsed="false">
      <c r="A5" s="53" t="s">
        <v>354</v>
      </c>
      <c r="C5" s="90" t="n">
        <v>0.15</v>
      </c>
      <c r="D5" s="53"/>
      <c r="E5" s="39" t="s">
        <v>355</v>
      </c>
    </row>
    <row r="6" customFormat="false" ht="15" hidden="false" customHeight="true" outlineLevel="0" collapsed="false">
      <c r="A6" s="53" t="s">
        <v>356</v>
      </c>
      <c r="C6" s="90" t="n">
        <v>0.125</v>
      </c>
      <c r="D6" s="53"/>
      <c r="E6" s="39" t="s">
        <v>357</v>
      </c>
    </row>
    <row r="7" customFormat="false" ht="15" hidden="false" customHeight="true" outlineLevel="0" collapsed="false">
      <c r="A7" s="53" t="s">
        <v>358</v>
      </c>
      <c r="C7" s="91" t="n">
        <v>1.5</v>
      </c>
      <c r="D7" s="53" t="s">
        <v>359</v>
      </c>
      <c r="E7" s="39" t="s">
        <v>360</v>
      </c>
    </row>
    <row r="9" customFormat="false" ht="15" hidden="false" customHeight="true" outlineLevel="0" collapsed="false">
      <c r="A9" s="77" t="s">
        <v>340</v>
      </c>
    </row>
    <row r="10" customFormat="false" ht="15" hidden="false" customHeight="true" outlineLevel="0" collapsed="false">
      <c r="A10" s="53" t="s">
        <v>361</v>
      </c>
      <c r="C10" s="88" t="n">
        <f aca="false">C4*C5</f>
        <v>1.14</v>
      </c>
    </row>
    <row r="11" customFormat="false" ht="15" hidden="false" customHeight="true" outlineLevel="0" collapsed="false">
      <c r="A11" s="53" t="s">
        <v>362</v>
      </c>
      <c r="C11" s="88" t="n">
        <f aca="false">C4*C6</f>
        <v>0.95</v>
      </c>
    </row>
    <row r="12" customFormat="false" ht="15" hidden="false" customHeight="true" outlineLevel="0" collapsed="false">
      <c r="A12" s="53" t="s">
        <v>363</v>
      </c>
      <c r="C12" s="88" t="n">
        <f aca="false">C11*C7</f>
        <v>1.425</v>
      </c>
    </row>
    <row r="14" customFormat="false" ht="15" hidden="false" customHeight="true" outlineLevel="0" collapsed="false">
      <c r="A14" s="84" t="s">
        <v>364</v>
      </c>
      <c r="C14" s="89" t="n">
        <f aca="false">C12</f>
        <v>1.425</v>
      </c>
    </row>
    <row r="16" customFormat="false" ht="15" hidden="false" customHeight="true" outlineLevel="0" collapsed="false">
      <c r="A16" s="77" t="s">
        <v>344</v>
      </c>
    </row>
    <row r="17" customFormat="false" ht="15" hidden="false" customHeight="true" outlineLevel="0" collapsed="false">
      <c r="A17" s="39" t="s">
        <v>365</v>
      </c>
    </row>
    <row r="18" customFormat="false" ht="15" hidden="false" customHeight="true" outlineLevel="0" collapsed="false">
      <c r="A18" s="39" t="s">
        <v>366</v>
      </c>
    </row>
  </sheetData>
  <mergeCells count="1">
    <mergeCell ref="A1:E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5"/>
    <col collapsed="false" customWidth="true" hidden="false" outlineLevel="0" max="2" min="2" style="1" width="4"/>
    <col collapsed="false" customWidth="true" hidden="false" outlineLevel="0" max="3" min="3" style="1" width="20"/>
    <col collapsed="false" customWidth="true" hidden="false" outlineLevel="0" max="4" min="4" style="1" width="16"/>
    <col collapsed="false" customWidth="true" hidden="false" outlineLevel="0" max="5" min="5" style="1" width="35"/>
  </cols>
  <sheetData>
    <row r="1" customFormat="false" ht="17.25" hidden="false" customHeight="true" outlineLevel="0" collapsed="false">
      <c r="A1" s="38" t="s">
        <v>367</v>
      </c>
      <c r="B1" s="38"/>
      <c r="C1" s="38"/>
      <c r="D1" s="38"/>
      <c r="E1" s="38"/>
    </row>
    <row r="3" customFormat="false" ht="15" hidden="false" customHeight="true" outlineLevel="0" collapsed="false">
      <c r="A3" s="77" t="s">
        <v>334</v>
      </c>
      <c r="C3" s="62" t="s">
        <v>197</v>
      </c>
      <c r="D3" s="62" t="s">
        <v>198</v>
      </c>
      <c r="E3" s="62" t="s">
        <v>335</v>
      </c>
    </row>
    <row r="4" customFormat="false" ht="15" hidden="false" customHeight="true" outlineLevel="0" collapsed="false">
      <c r="A4" s="53" t="s">
        <v>368</v>
      </c>
      <c r="C4" s="92" t="n">
        <f aca="false">Assumptions!C19</f>
        <v>294</v>
      </c>
      <c r="D4" s="53" t="s">
        <v>213</v>
      </c>
      <c r="E4" s="39" t="s">
        <v>337</v>
      </c>
    </row>
    <row r="5" customFormat="false" ht="15" hidden="false" customHeight="true" outlineLevel="0" collapsed="false">
      <c r="A5" s="53" t="s">
        <v>219</v>
      </c>
      <c r="C5" s="93" t="n">
        <f aca="false">Assumptions!C21</f>
        <v>0.02</v>
      </c>
      <c r="D5" s="53"/>
      <c r="E5" s="39" t="s">
        <v>337</v>
      </c>
    </row>
    <row r="6" customFormat="false" ht="15" hidden="false" customHeight="true" outlineLevel="0" collapsed="false">
      <c r="A6" s="53" t="s">
        <v>369</v>
      </c>
      <c r="C6" s="88" t="n">
        <f aca="false">C4*C5</f>
        <v>5.88</v>
      </c>
      <c r="D6" s="53" t="s">
        <v>213</v>
      </c>
    </row>
    <row r="7" customFormat="false" ht="15" hidden="false" customHeight="true" outlineLevel="0" collapsed="false">
      <c r="A7" s="53" t="s">
        <v>370</v>
      </c>
      <c r="C7" s="90" t="n">
        <v>0.15</v>
      </c>
      <c r="D7" s="53"/>
      <c r="E7" s="39" t="s">
        <v>371</v>
      </c>
    </row>
    <row r="8" customFormat="false" ht="15" hidden="false" customHeight="true" outlineLevel="0" collapsed="false">
      <c r="A8" s="53" t="s">
        <v>372</v>
      </c>
      <c r="C8" s="91" t="n">
        <v>2</v>
      </c>
      <c r="D8" s="53" t="s">
        <v>359</v>
      </c>
      <c r="E8" s="39" t="s">
        <v>373</v>
      </c>
    </row>
    <row r="10" customFormat="false" ht="15" hidden="false" customHeight="true" outlineLevel="0" collapsed="false">
      <c r="A10" s="77" t="s">
        <v>340</v>
      </c>
    </row>
    <row r="11" customFormat="false" ht="15" hidden="false" customHeight="true" outlineLevel="0" collapsed="false">
      <c r="A11" s="53" t="s">
        <v>374</v>
      </c>
      <c r="C11" s="88" t="n">
        <f aca="false">C6*C7</f>
        <v>0.882</v>
      </c>
    </row>
    <row r="12" customFormat="false" ht="15" hidden="false" customHeight="true" outlineLevel="0" collapsed="false">
      <c r="A12" s="53" t="s">
        <v>375</v>
      </c>
      <c r="C12" s="88" t="n">
        <f aca="false">C11*C8</f>
        <v>1.764</v>
      </c>
    </row>
    <row r="14" customFormat="false" ht="15" hidden="false" customHeight="true" outlineLevel="0" collapsed="false">
      <c r="A14" s="84" t="s">
        <v>376</v>
      </c>
      <c r="C14" s="89" t="n">
        <f aca="false">C12</f>
        <v>1.764</v>
      </c>
    </row>
    <row r="16" customFormat="false" ht="15" hidden="false" customHeight="true" outlineLevel="0" collapsed="false">
      <c r="A16" s="77" t="s">
        <v>344</v>
      </c>
    </row>
    <row r="17" customFormat="false" ht="15" hidden="false" customHeight="true" outlineLevel="0" collapsed="false">
      <c r="A17" s="39" t="s">
        <v>377</v>
      </c>
    </row>
    <row r="18" customFormat="false" ht="15" hidden="false" customHeight="true" outlineLevel="0" collapsed="false">
      <c r="A18" s="39" t="s">
        <v>378</v>
      </c>
    </row>
  </sheetData>
  <mergeCells count="1">
    <mergeCell ref="A1:E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5"/>
    <col collapsed="false" customWidth="true" hidden="false" outlineLevel="0" max="2" min="2" style="1" width="4"/>
    <col collapsed="false" customWidth="true" hidden="false" outlineLevel="0" max="3" min="3" style="1" width="20"/>
    <col collapsed="false" customWidth="true" hidden="false" outlineLevel="0" max="4" min="4" style="1" width="16"/>
    <col collapsed="false" customWidth="true" hidden="false" outlineLevel="0" max="5" min="5" style="1" width="35"/>
  </cols>
  <sheetData>
    <row r="1" customFormat="false" ht="17.25" hidden="false" customHeight="true" outlineLevel="0" collapsed="false">
      <c r="A1" s="38" t="s">
        <v>379</v>
      </c>
      <c r="B1" s="38"/>
      <c r="C1" s="38"/>
      <c r="D1" s="38"/>
      <c r="E1" s="38"/>
    </row>
    <row r="3" customFormat="false" ht="15" hidden="false" customHeight="true" outlineLevel="0" collapsed="false">
      <c r="A3" s="77" t="s">
        <v>334</v>
      </c>
      <c r="C3" s="62" t="s">
        <v>197</v>
      </c>
      <c r="D3" s="62" t="s">
        <v>198</v>
      </c>
      <c r="E3" s="62" t="s">
        <v>335</v>
      </c>
    </row>
    <row r="4" customFormat="false" ht="15" hidden="false" customHeight="true" outlineLevel="0" collapsed="false">
      <c r="A4" s="53" t="s">
        <v>336</v>
      </c>
      <c r="C4" s="85" t="n">
        <f aca="false">Assumptions!C6</f>
        <v>14.7</v>
      </c>
      <c r="D4" s="53" t="s">
        <v>201</v>
      </c>
      <c r="E4" s="39" t="s">
        <v>337</v>
      </c>
    </row>
    <row r="5" customFormat="false" ht="15" hidden="false" customHeight="true" outlineLevel="0" collapsed="false">
      <c r="A5" s="53" t="s">
        <v>380</v>
      </c>
      <c r="C5" s="94" t="n">
        <f aca="false">Assumptions!E41*10000</f>
        <v>20.6</v>
      </c>
      <c r="D5" s="53" t="s">
        <v>218</v>
      </c>
      <c r="E5" s="39" t="s">
        <v>337</v>
      </c>
    </row>
    <row r="6" customFormat="false" ht="15" hidden="false" customHeight="true" outlineLevel="0" collapsed="false">
      <c r="A6" s="53" t="s">
        <v>381</v>
      </c>
      <c r="C6" s="94" t="n">
        <f aca="false">Assumptions!E42*10000</f>
        <v>37.21</v>
      </c>
      <c r="D6" s="53" t="s">
        <v>218</v>
      </c>
      <c r="E6" s="39" t="s">
        <v>337</v>
      </c>
    </row>
    <row r="7" customFormat="false" ht="15" hidden="false" customHeight="true" outlineLevel="0" collapsed="false">
      <c r="A7" s="53" t="s">
        <v>382</v>
      </c>
      <c r="C7" s="87" t="n">
        <v>3</v>
      </c>
      <c r="D7" s="53" t="s">
        <v>218</v>
      </c>
      <c r="E7" s="39" t="s">
        <v>383</v>
      </c>
    </row>
    <row r="8" customFormat="false" ht="15" hidden="false" customHeight="true" outlineLevel="0" collapsed="false">
      <c r="A8" s="53" t="s">
        <v>384</v>
      </c>
      <c r="C8" s="90" t="n">
        <v>0.4</v>
      </c>
      <c r="D8" s="53"/>
      <c r="E8" s="39" t="s">
        <v>385</v>
      </c>
    </row>
    <row r="10" customFormat="false" ht="15" hidden="false" customHeight="true" outlineLevel="0" collapsed="false">
      <c r="A10" s="77" t="s">
        <v>340</v>
      </c>
    </row>
    <row r="11" customFormat="false" ht="15" hidden="false" customHeight="true" outlineLevel="0" collapsed="false">
      <c r="A11" s="53" t="s">
        <v>386</v>
      </c>
      <c r="C11" s="88" t="n">
        <f aca="false">C4*C7/10000*1000</f>
        <v>4.41</v>
      </c>
    </row>
    <row r="12" customFormat="false" ht="15" hidden="false" customHeight="true" outlineLevel="0" collapsed="false">
      <c r="A12" s="53" t="s">
        <v>387</v>
      </c>
      <c r="C12" s="88" t="n">
        <f aca="false">C11*C8</f>
        <v>1.764</v>
      </c>
    </row>
    <row r="14" customFormat="false" ht="15" hidden="false" customHeight="true" outlineLevel="0" collapsed="false">
      <c r="A14" s="84" t="s">
        <v>388</v>
      </c>
      <c r="C14" s="89" t="n">
        <f aca="false">C12</f>
        <v>1.764</v>
      </c>
    </row>
    <row r="16" customFormat="false" ht="15" hidden="false" customHeight="true" outlineLevel="0" collapsed="false">
      <c r="A16" s="77" t="s">
        <v>344</v>
      </c>
    </row>
    <row r="17" customFormat="false" ht="15" hidden="false" customHeight="true" outlineLevel="0" collapsed="false">
      <c r="A17" s="39" t="s">
        <v>389</v>
      </c>
    </row>
    <row r="18" customFormat="false" ht="15" hidden="false" customHeight="true" outlineLevel="0" collapsed="false">
      <c r="A18" s="39" t="s">
        <v>390</v>
      </c>
    </row>
  </sheetData>
  <mergeCells count="1">
    <mergeCell ref="A1:E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5"/>
    <col collapsed="false" customWidth="true" hidden="false" outlineLevel="0" max="2" min="2" style="1" width="4"/>
    <col collapsed="false" customWidth="true" hidden="false" outlineLevel="0" max="3" min="3" style="1" width="20"/>
    <col collapsed="false" customWidth="true" hidden="false" outlineLevel="0" max="4" min="4" style="1" width="16"/>
    <col collapsed="false" customWidth="true" hidden="false" outlineLevel="0" max="5" min="5" style="1" width="35"/>
  </cols>
  <sheetData>
    <row r="1" customFormat="false" ht="17.25" hidden="false" customHeight="true" outlineLevel="0" collapsed="false">
      <c r="A1" s="38" t="s">
        <v>391</v>
      </c>
      <c r="B1" s="38"/>
      <c r="C1" s="38"/>
      <c r="D1" s="38"/>
      <c r="E1" s="38"/>
    </row>
    <row r="3" customFormat="false" ht="15" hidden="false" customHeight="true" outlineLevel="0" collapsed="false">
      <c r="A3" s="77" t="s">
        <v>334</v>
      </c>
      <c r="C3" s="62" t="s">
        <v>197</v>
      </c>
      <c r="D3" s="62" t="s">
        <v>198</v>
      </c>
      <c r="E3" s="62" t="s">
        <v>335</v>
      </c>
    </row>
    <row r="4" customFormat="false" ht="15" hidden="false" customHeight="true" outlineLevel="0" collapsed="false">
      <c r="A4" s="53" t="s">
        <v>392</v>
      </c>
      <c r="C4" s="85" t="n">
        <f aca="false">Assumptions!C9</f>
        <v>11.319</v>
      </c>
      <c r="D4" s="53" t="s">
        <v>201</v>
      </c>
      <c r="E4" s="39" t="s">
        <v>337</v>
      </c>
    </row>
    <row r="5" customFormat="false" ht="15" hidden="false" customHeight="true" outlineLevel="0" collapsed="false">
      <c r="A5" s="53" t="s">
        <v>393</v>
      </c>
      <c r="C5" s="85" t="n">
        <f aca="false">Assumptions!C10</f>
        <v>3.381</v>
      </c>
      <c r="D5" s="53" t="s">
        <v>201</v>
      </c>
      <c r="E5" s="39" t="s">
        <v>337</v>
      </c>
    </row>
    <row r="6" customFormat="false" ht="15" hidden="false" customHeight="true" outlineLevel="0" collapsed="false">
      <c r="A6" s="53" t="s">
        <v>394</v>
      </c>
      <c r="C6" s="86" t="n">
        <f aca="false">Assumptions!C41</f>
        <v>0.000383</v>
      </c>
      <c r="D6" s="53"/>
      <c r="E6" s="39" t="s">
        <v>337</v>
      </c>
    </row>
    <row r="7" customFormat="false" ht="15" hidden="false" customHeight="true" outlineLevel="0" collapsed="false">
      <c r="A7" s="53" t="s">
        <v>395</v>
      </c>
      <c r="C7" s="86" t="n">
        <f aca="false">Assumptions!C42</f>
        <v>0.000748</v>
      </c>
      <c r="D7" s="53"/>
      <c r="E7" s="39" t="s">
        <v>337</v>
      </c>
    </row>
    <row r="8" customFormat="false" ht="15" hidden="false" customHeight="true" outlineLevel="0" collapsed="false">
      <c r="A8" s="53" t="s">
        <v>396</v>
      </c>
      <c r="C8" s="90" t="n">
        <v>0.65</v>
      </c>
      <c r="D8" s="53"/>
      <c r="E8" s="39" t="s">
        <v>397</v>
      </c>
    </row>
    <row r="10" customFormat="false" ht="15" hidden="false" customHeight="true" outlineLevel="0" collapsed="false">
      <c r="A10" s="77" t="s">
        <v>340</v>
      </c>
    </row>
    <row r="11" customFormat="false" ht="15" hidden="false" customHeight="true" outlineLevel="0" collapsed="false">
      <c r="A11" s="53" t="s">
        <v>398</v>
      </c>
      <c r="C11" s="88" t="n">
        <f aca="false">C4*C6*1000</f>
        <v>4.335177</v>
      </c>
    </row>
    <row r="12" customFormat="false" ht="15" hidden="false" customHeight="true" outlineLevel="0" collapsed="false">
      <c r="A12" s="53" t="s">
        <v>399</v>
      </c>
      <c r="C12" s="88" t="n">
        <f aca="false">C5*C7*1000</f>
        <v>2.528988</v>
      </c>
    </row>
    <row r="13" customFormat="false" ht="15" hidden="false" customHeight="true" outlineLevel="0" collapsed="false">
      <c r="A13" s="53" t="s">
        <v>400</v>
      </c>
      <c r="C13" s="88" t="n">
        <f aca="false">C11+C12</f>
        <v>6.864165</v>
      </c>
    </row>
    <row r="14" customFormat="false" ht="15" hidden="false" customHeight="true" outlineLevel="0" collapsed="false">
      <c r="A14" s="53" t="s">
        <v>401</v>
      </c>
      <c r="C14" s="88" t="n">
        <f aca="false">C13*C8</f>
        <v>4.46170725</v>
      </c>
    </row>
    <row r="16" customFormat="false" ht="15" hidden="false" customHeight="true" outlineLevel="0" collapsed="false">
      <c r="A16" s="84" t="s">
        <v>402</v>
      </c>
      <c r="C16" s="89" t="n">
        <f aca="false">C14</f>
        <v>4.46170725</v>
      </c>
    </row>
    <row r="18" customFormat="false" ht="15" hidden="false" customHeight="true" outlineLevel="0" collapsed="false">
      <c r="A18" s="77" t="s">
        <v>344</v>
      </c>
    </row>
    <row r="19" customFormat="false" ht="15" hidden="false" customHeight="true" outlineLevel="0" collapsed="false">
      <c r="A19" s="39" t="s">
        <v>403</v>
      </c>
    </row>
    <row r="20" customFormat="false" ht="15" hidden="false" customHeight="true" outlineLevel="0" collapsed="false">
      <c r="A20" s="39" t="s">
        <v>404</v>
      </c>
    </row>
  </sheetData>
  <mergeCells count="1">
    <mergeCell ref="A1:E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3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2"/>
    <col collapsed="false" customWidth="true" hidden="false" outlineLevel="0" max="2" min="2" style="1" width="4"/>
    <col collapsed="false" customWidth="true" hidden="false" outlineLevel="0" max="3" min="3" style="1" width="16"/>
    <col collapsed="false" customWidth="true" hidden="false" outlineLevel="0" max="4" min="4" style="1" width="14"/>
    <col collapsed="false" customWidth="true" hidden="false" outlineLevel="0" max="5" min="5" style="1" width="42"/>
  </cols>
  <sheetData>
    <row r="1" customFormat="false" ht="17.25" hidden="false" customHeight="true" outlineLevel="0" collapsed="false">
      <c r="A1" s="95" t="s">
        <v>405</v>
      </c>
    </row>
    <row r="2" customFormat="false" ht="15" hidden="false" customHeight="true" outlineLevel="0" collapsed="false">
      <c r="A2" s="96" t="s">
        <v>406</v>
      </c>
    </row>
    <row r="3" customFormat="false" ht="15" hidden="false" customHeight="true" outlineLevel="0" collapsed="false">
      <c r="A3" s="67" t="s">
        <v>334</v>
      </c>
      <c r="C3" s="62" t="s">
        <v>197</v>
      </c>
      <c r="D3" s="62" t="s">
        <v>198</v>
      </c>
      <c r="E3" s="62" t="s">
        <v>335</v>
      </c>
    </row>
    <row r="4" customFormat="false" ht="15" hidden="false" customHeight="true" outlineLevel="0" collapsed="false">
      <c r="A4" s="53" t="s">
        <v>407</v>
      </c>
      <c r="C4" s="97" t="n">
        <f aca="false">Assumptions!C15</f>
        <v>9.545</v>
      </c>
      <c r="D4" s="53" t="s">
        <v>201</v>
      </c>
      <c r="E4" s="39" t="s">
        <v>337</v>
      </c>
    </row>
    <row r="5" customFormat="false" ht="15" hidden="false" customHeight="true" outlineLevel="0" collapsed="false">
      <c r="A5" s="53" t="s">
        <v>408</v>
      </c>
      <c r="C5" s="98" t="n">
        <f aca="false">Assumptions!C16</f>
        <v>1.955</v>
      </c>
      <c r="D5" s="53" t="s">
        <v>201</v>
      </c>
      <c r="E5" s="39" t="s">
        <v>337</v>
      </c>
    </row>
    <row r="6" customFormat="false" ht="15" hidden="false" customHeight="true" outlineLevel="0" collapsed="false">
      <c r="A6" s="53" t="s">
        <v>409</v>
      </c>
      <c r="C6" s="99" t="n">
        <v>0.0791</v>
      </c>
      <c r="D6" s="53" t="s">
        <v>271</v>
      </c>
      <c r="E6" s="1" t="s">
        <v>410</v>
      </c>
    </row>
    <row r="7" customFormat="false" ht="15" hidden="false" customHeight="true" outlineLevel="0" collapsed="false">
      <c r="A7" s="53" t="s">
        <v>411</v>
      </c>
      <c r="C7" s="99" t="n">
        <v>0.1481</v>
      </c>
      <c r="D7" s="53" t="s">
        <v>271</v>
      </c>
      <c r="E7" s="39" t="s">
        <v>412</v>
      </c>
    </row>
    <row r="8" customFormat="false" ht="15" hidden="false" customHeight="true" outlineLevel="0" collapsed="false">
      <c r="A8" s="53" t="s">
        <v>413</v>
      </c>
      <c r="C8" s="99" t="n">
        <v>0.21</v>
      </c>
      <c r="D8" s="53" t="s">
        <v>271</v>
      </c>
      <c r="E8" s="39" t="s">
        <v>414</v>
      </c>
    </row>
    <row r="9" customFormat="false" ht="15" hidden="false" customHeight="true" outlineLevel="0" collapsed="false">
      <c r="A9" s="53" t="s">
        <v>415</v>
      </c>
      <c r="C9" s="99" t="n">
        <v>0.37</v>
      </c>
      <c r="D9" s="53" t="s">
        <v>271</v>
      </c>
      <c r="E9" s="1" t="s">
        <v>416</v>
      </c>
    </row>
    <row r="10" customFormat="false" ht="15" hidden="false" customHeight="true" outlineLevel="0" collapsed="false">
      <c r="A10" s="1" t="s">
        <v>275</v>
      </c>
      <c r="C10" s="100" t="n">
        <f aca="false">(C4*C8/100+C5*C9/100)*1000</f>
        <v>27.278</v>
      </c>
      <c r="D10" s="1" t="s">
        <v>213</v>
      </c>
      <c r="E10" s="1" t="s">
        <v>276</v>
      </c>
    </row>
    <row r="11" customFormat="false" ht="15" hidden="false" customHeight="true" outlineLevel="0" collapsed="false">
      <c r="A11" s="77" t="s">
        <v>277</v>
      </c>
      <c r="C11" s="68" t="n">
        <v>3.75</v>
      </c>
      <c r="D11" s="1" t="s">
        <v>213</v>
      </c>
      <c r="E11" s="1" t="s">
        <v>417</v>
      </c>
    </row>
    <row r="12" customFormat="false" ht="15" hidden="false" customHeight="true" outlineLevel="0" collapsed="false">
      <c r="A12" s="53" t="s">
        <v>418</v>
      </c>
      <c r="C12" s="71" t="n">
        <f aca="false">C11/C10</f>
        <v>0.137473421805118</v>
      </c>
      <c r="D12" s="1" t="s">
        <v>419</v>
      </c>
      <c r="E12" s="1" t="s">
        <v>420</v>
      </c>
    </row>
    <row r="13" customFormat="false" ht="15" hidden="false" customHeight="true" outlineLevel="0" collapsed="false">
      <c r="A13" s="53"/>
      <c r="C13" s="88"/>
    </row>
    <row r="14" customFormat="false" ht="15" hidden="false" customHeight="true" outlineLevel="0" collapsed="false">
      <c r="A14" s="67" t="s">
        <v>340</v>
      </c>
      <c r="C14" s="88"/>
    </row>
    <row r="15" customFormat="false" ht="15" hidden="false" customHeight="true" outlineLevel="0" collapsed="false">
      <c r="A15" s="53" t="s">
        <v>421</v>
      </c>
      <c r="C15" s="101" t="n">
        <f aca="false">C4/100*C6*1000</f>
        <v>7.550095</v>
      </c>
    </row>
    <row r="16" customFormat="false" ht="15" hidden="false" customHeight="true" outlineLevel="0" collapsed="false">
      <c r="A16" s="1" t="s">
        <v>422</v>
      </c>
      <c r="C16" s="70" t="n">
        <f aca="false">C5/100*C7*1000</f>
        <v>2.895355</v>
      </c>
    </row>
    <row r="17" customFormat="false" ht="15" hidden="false" customHeight="true" outlineLevel="0" collapsed="false">
      <c r="A17" s="84" t="s">
        <v>423</v>
      </c>
      <c r="C17" s="102" t="n">
        <f aca="false">C15+C16</f>
        <v>10.44545</v>
      </c>
    </row>
    <row r="18" customFormat="false" ht="15" hidden="false" customHeight="true" outlineLevel="0" collapsed="false">
      <c r="A18" s="1" t="s">
        <v>424</v>
      </c>
      <c r="C18" s="70" t="n">
        <f aca="false">C17*C12</f>
        <v>1.43597175379427</v>
      </c>
    </row>
    <row r="19" customFormat="false" ht="15" hidden="false" customHeight="true" outlineLevel="0" collapsed="false">
      <c r="A19" s="77"/>
    </row>
    <row r="20" customFormat="false" ht="15" hidden="false" customHeight="true" outlineLevel="0" collapsed="false">
      <c r="A20" s="39" t="s">
        <v>425</v>
      </c>
      <c r="C20" s="70" t="n">
        <f aca="false">C4*(C8-0.1049)/100*1000</f>
        <v>10.031795</v>
      </c>
    </row>
    <row r="21" customFormat="false" ht="15" hidden="false" customHeight="true" outlineLevel="0" collapsed="false">
      <c r="A21" s="39" t="s">
        <v>426</v>
      </c>
      <c r="C21" s="70" t="n">
        <f aca="false">C5*(C9-0.1589)/100*1000</f>
        <v>4.127005</v>
      </c>
    </row>
    <row r="22" customFormat="false" ht="15" hidden="false" customHeight="true" outlineLevel="0" collapsed="false">
      <c r="A22" s="1" t="s">
        <v>427</v>
      </c>
      <c r="C22" s="70" t="n">
        <f aca="false">C20+C21</f>
        <v>14.1588</v>
      </c>
    </row>
    <row r="23" customFormat="false" ht="15" hidden="false" customHeight="true" outlineLevel="0" collapsed="false">
      <c r="A23" s="1" t="s">
        <v>428</v>
      </c>
      <c r="C23" s="70" t="n">
        <f aca="false">C22*C12</f>
        <v>1.9464586846543</v>
      </c>
    </row>
    <row r="25" customFormat="false" ht="15" hidden="false" customHeight="true" outlineLevel="0" collapsed="false">
      <c r="A25" s="1" t="s">
        <v>429</v>
      </c>
      <c r="C25" s="70" t="n">
        <f aca="false">C4*(0.325-0.1049)/100*1000+C5*(0.65-0.1589)/100*1000</f>
        <v>30.60955</v>
      </c>
    </row>
    <row r="26" customFormat="false" ht="15" hidden="false" customHeight="true" outlineLevel="0" collapsed="false">
      <c r="A26" s="1" t="s">
        <v>430</v>
      </c>
      <c r="C26" s="70" t="n">
        <f aca="false">C25*C12</f>
        <v>4.20799957841484</v>
      </c>
    </row>
    <row r="28" customFormat="false" ht="15" hidden="false" customHeight="true" outlineLevel="0" collapsed="false">
      <c r="A28" s="67" t="s">
        <v>431</v>
      </c>
      <c r="C28" s="103" t="n">
        <f aca="false">C18</f>
        <v>1.43597175379427</v>
      </c>
    </row>
    <row r="29" customFormat="false" ht="15" hidden="false" customHeight="true" outlineLevel="0" collapsed="false">
      <c r="A29" s="67" t="s">
        <v>432</v>
      </c>
      <c r="C29" s="103" t="n">
        <f aca="false">C23</f>
        <v>1.9464586846543</v>
      </c>
    </row>
    <row r="30" customFormat="false" ht="15" hidden="false" customHeight="true" outlineLevel="0" collapsed="false">
      <c r="A30" s="67" t="s">
        <v>433</v>
      </c>
      <c r="C30" s="103" t="n">
        <f aca="false">C26</f>
        <v>4.20799957841484</v>
      </c>
    </row>
    <row r="32" customFormat="false" ht="15" hidden="false" customHeight="true" outlineLevel="0" collapsed="false">
      <c r="A32" s="67" t="s">
        <v>344</v>
      </c>
    </row>
    <row r="33" customFormat="false" ht="15" hidden="false" customHeight="true" outlineLevel="0" collapsed="false">
      <c r="A33" s="1" t="s">
        <v>434</v>
      </c>
    </row>
    <row r="34" customFormat="false" ht="15" hidden="false" customHeight="true" outlineLevel="0" collapsed="false">
      <c r="A34" s="1" t="s">
        <v>435</v>
      </c>
    </row>
    <row r="35" customFormat="false" ht="15" hidden="false" customHeight="true" outlineLevel="0" collapsed="false">
      <c r="A35" s="1" t="s">
        <v>436</v>
      </c>
    </row>
    <row r="36" customFormat="false" ht="15" hidden="false" customHeight="true" outlineLevel="0" collapsed="false">
      <c r="A36" s="1" t="s">
        <v>437</v>
      </c>
    </row>
    <row r="37" customFormat="false" ht="15" hidden="false" customHeight="true" outlineLevel="0" collapsed="false">
      <c r="A37" s="1" t="s">
        <v>438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5"/>
    <col collapsed="false" customWidth="true" hidden="false" outlineLevel="0" max="2" min="2" style="1" width="4"/>
    <col collapsed="false" customWidth="true" hidden="false" outlineLevel="0" max="3" min="3" style="1" width="20"/>
    <col collapsed="false" customWidth="true" hidden="false" outlineLevel="0" max="4" min="4" style="1" width="16"/>
    <col collapsed="false" customWidth="true" hidden="false" outlineLevel="0" max="5" min="5" style="1" width="35"/>
  </cols>
  <sheetData>
    <row r="1" customFormat="false" ht="17.25" hidden="false" customHeight="true" outlineLevel="0" collapsed="false">
      <c r="A1" s="38" t="s">
        <v>439</v>
      </c>
      <c r="B1" s="38"/>
      <c r="C1" s="38"/>
      <c r="D1" s="38"/>
      <c r="E1" s="38"/>
    </row>
    <row r="3" customFormat="false" ht="15" hidden="false" customHeight="true" outlineLevel="0" collapsed="false">
      <c r="A3" s="77" t="s">
        <v>334</v>
      </c>
      <c r="C3" s="62" t="s">
        <v>197</v>
      </c>
      <c r="D3" s="62" t="s">
        <v>198</v>
      </c>
      <c r="E3" s="62" t="s">
        <v>335</v>
      </c>
    </row>
    <row r="4" customFormat="false" ht="15" hidden="false" customHeight="true" outlineLevel="0" collapsed="false">
      <c r="A4" s="53" t="s">
        <v>440</v>
      </c>
      <c r="C4" s="85" t="n">
        <f aca="false">Assumptions!C22</f>
        <v>3</v>
      </c>
      <c r="D4" s="53" t="s">
        <v>201</v>
      </c>
      <c r="E4" s="39" t="s">
        <v>337</v>
      </c>
    </row>
    <row r="5" customFormat="false" ht="15" hidden="false" customHeight="true" outlineLevel="0" collapsed="false">
      <c r="A5" s="53" t="s">
        <v>441</v>
      </c>
      <c r="C5" s="93" t="n">
        <f aca="false">Assumptions!C46</f>
        <v>0.436716077537058</v>
      </c>
      <c r="D5" s="53"/>
      <c r="E5" s="39" t="s">
        <v>442</v>
      </c>
    </row>
    <row r="6" customFormat="false" ht="15" hidden="false" customHeight="true" outlineLevel="0" collapsed="false">
      <c r="A6" s="53" t="s">
        <v>443</v>
      </c>
      <c r="C6" s="90" t="n">
        <v>0.5</v>
      </c>
      <c r="D6" s="53"/>
      <c r="E6" s="39" t="s">
        <v>444</v>
      </c>
    </row>
    <row r="7" customFormat="false" ht="15" hidden="false" customHeight="true" outlineLevel="0" collapsed="false">
      <c r="A7" s="53" t="s">
        <v>445</v>
      </c>
      <c r="C7" s="104" t="n">
        <v>45</v>
      </c>
      <c r="D7" s="53" t="s">
        <v>218</v>
      </c>
      <c r="E7" s="39" t="s">
        <v>446</v>
      </c>
    </row>
    <row r="8" customFormat="false" ht="15" hidden="false" customHeight="true" outlineLevel="0" collapsed="false">
      <c r="A8" s="53" t="s">
        <v>447</v>
      </c>
      <c r="C8" s="105" t="n">
        <f aca="false">C7*C5*C6</f>
        <v>9.82611174458381</v>
      </c>
      <c r="D8" s="53" t="s">
        <v>218</v>
      </c>
    </row>
    <row r="9" customFormat="false" ht="15" hidden="false" customHeight="true" outlineLevel="0" collapsed="false">
      <c r="A9" s="53" t="s">
        <v>448</v>
      </c>
      <c r="C9" s="90" t="n">
        <v>0.33</v>
      </c>
      <c r="D9" s="53"/>
      <c r="E9" s="39" t="s">
        <v>449</v>
      </c>
    </row>
    <row r="11" customFormat="false" ht="15" hidden="false" customHeight="true" outlineLevel="0" collapsed="false">
      <c r="A11" s="77" t="s">
        <v>340</v>
      </c>
    </row>
    <row r="12" customFormat="false" ht="15" hidden="false" customHeight="true" outlineLevel="0" collapsed="false">
      <c r="A12" s="53" t="s">
        <v>450</v>
      </c>
      <c r="C12" s="88" t="n">
        <f aca="false">C4*C8/10000*1000</f>
        <v>2.94783352337514</v>
      </c>
    </row>
    <row r="13" customFormat="false" ht="15" hidden="false" customHeight="true" outlineLevel="0" collapsed="false">
      <c r="A13" s="53" t="s">
        <v>451</v>
      </c>
      <c r="C13" s="88" t="n">
        <f aca="false">C12*C9</f>
        <v>0.972785062713797</v>
      </c>
    </row>
    <row r="15" customFormat="false" ht="15" hidden="false" customHeight="true" outlineLevel="0" collapsed="false">
      <c r="A15" s="84" t="s">
        <v>452</v>
      </c>
      <c r="C15" s="89" t="n">
        <f aca="false">C13</f>
        <v>0.972785062713797</v>
      </c>
    </row>
    <row r="17" customFormat="false" ht="15" hidden="false" customHeight="true" outlineLevel="0" collapsed="false">
      <c r="A17" s="77" t="s">
        <v>344</v>
      </c>
    </row>
    <row r="18" customFormat="false" ht="15" hidden="false" customHeight="true" outlineLevel="0" collapsed="false">
      <c r="A18" s="39" t="s">
        <v>453</v>
      </c>
    </row>
    <row r="19" customFormat="false" ht="15" hidden="false" customHeight="true" outlineLevel="0" collapsed="false">
      <c r="A19" s="39" t="s">
        <v>454</v>
      </c>
    </row>
  </sheetData>
  <mergeCells count="1">
    <mergeCell ref="A1:E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5"/>
    <col collapsed="false" customWidth="true" hidden="false" outlineLevel="0" max="2" min="2" style="1" width="4"/>
    <col collapsed="false" customWidth="true" hidden="false" outlineLevel="0" max="3" min="3" style="1" width="20"/>
    <col collapsed="false" customWidth="true" hidden="false" outlineLevel="0" max="4" min="4" style="1" width="16"/>
    <col collapsed="false" customWidth="true" hidden="false" outlineLevel="0" max="5" min="5" style="1" width="35"/>
  </cols>
  <sheetData>
    <row r="1" customFormat="false" ht="17.25" hidden="false" customHeight="true" outlineLevel="0" collapsed="false">
      <c r="A1" s="38" t="s">
        <v>455</v>
      </c>
      <c r="B1" s="38"/>
      <c r="C1" s="38"/>
      <c r="D1" s="38"/>
      <c r="E1" s="38"/>
    </row>
    <row r="3" customFormat="false" ht="15" hidden="false" customHeight="true" outlineLevel="0" collapsed="false">
      <c r="A3" s="77" t="s">
        <v>334</v>
      </c>
      <c r="C3" s="62" t="s">
        <v>197</v>
      </c>
      <c r="D3" s="62" t="s">
        <v>198</v>
      </c>
      <c r="E3" s="62" t="s">
        <v>335</v>
      </c>
    </row>
    <row r="4" customFormat="false" ht="15" hidden="false" customHeight="true" outlineLevel="0" collapsed="false">
      <c r="A4" s="53" t="s">
        <v>407</v>
      </c>
      <c r="C4" s="85" t="n">
        <f aca="false">Assumptions!C15</f>
        <v>9.545</v>
      </c>
      <c r="D4" s="53" t="s">
        <v>201</v>
      </c>
      <c r="E4" s="39" t="s">
        <v>337</v>
      </c>
    </row>
    <row r="5" customFormat="false" ht="15" hidden="false" customHeight="true" outlineLevel="0" collapsed="false">
      <c r="A5" s="53" t="s">
        <v>408</v>
      </c>
      <c r="C5" s="85" t="n">
        <f aca="false">Assumptions!C16</f>
        <v>1.955</v>
      </c>
      <c r="D5" s="53" t="s">
        <v>201</v>
      </c>
      <c r="E5" s="39" t="s">
        <v>337</v>
      </c>
    </row>
    <row r="6" customFormat="false" ht="15" hidden="false" customHeight="true" outlineLevel="0" collapsed="false">
      <c r="A6" s="53" t="s">
        <v>394</v>
      </c>
      <c r="C6" s="86" t="n">
        <f aca="false">Assumptions!C41</f>
        <v>0.000383</v>
      </c>
      <c r="D6" s="53"/>
      <c r="E6" s="39" t="s">
        <v>337</v>
      </c>
    </row>
    <row r="7" customFormat="false" ht="15" hidden="false" customHeight="true" outlineLevel="0" collapsed="false">
      <c r="A7" s="53" t="s">
        <v>395</v>
      </c>
      <c r="C7" s="86" t="n">
        <f aca="false">Assumptions!C42</f>
        <v>0.000748</v>
      </c>
      <c r="D7" s="53"/>
      <c r="E7" s="39" t="s">
        <v>337</v>
      </c>
    </row>
    <row r="8" customFormat="false" ht="15" hidden="false" customHeight="true" outlineLevel="0" collapsed="false">
      <c r="A8" s="53" t="s">
        <v>456</v>
      </c>
      <c r="C8" s="104" t="n">
        <v>300</v>
      </c>
      <c r="D8" s="53" t="s">
        <v>457</v>
      </c>
      <c r="E8" s="39" t="s">
        <v>458</v>
      </c>
    </row>
    <row r="9" customFormat="false" ht="15" hidden="false" customHeight="true" outlineLevel="0" collapsed="false">
      <c r="A9" s="53" t="s">
        <v>459</v>
      </c>
      <c r="C9" s="104" t="n">
        <v>200</v>
      </c>
      <c r="D9" s="53" t="s">
        <v>457</v>
      </c>
      <c r="E9" s="39" t="s">
        <v>460</v>
      </c>
    </row>
    <row r="10" customFormat="false" ht="15" hidden="false" customHeight="true" outlineLevel="0" collapsed="false">
      <c r="A10" s="53" t="s">
        <v>461</v>
      </c>
      <c r="C10" s="104" t="n">
        <v>350</v>
      </c>
      <c r="D10" s="53" t="s">
        <v>457</v>
      </c>
      <c r="E10" s="39" t="s">
        <v>462</v>
      </c>
    </row>
    <row r="12" customFormat="false" ht="15" hidden="false" customHeight="true" outlineLevel="0" collapsed="false">
      <c r="A12" s="77" t="s">
        <v>340</v>
      </c>
    </row>
    <row r="13" customFormat="false" ht="15" hidden="false" customHeight="true" outlineLevel="0" collapsed="false">
      <c r="A13" s="53" t="s">
        <v>463</v>
      </c>
      <c r="C13" s="88" t="n">
        <f aca="false">C4*C6*1000</f>
        <v>3.655735</v>
      </c>
    </row>
    <row r="14" customFormat="false" ht="15" hidden="false" customHeight="true" outlineLevel="0" collapsed="false">
      <c r="A14" s="53" t="s">
        <v>464</v>
      </c>
      <c r="C14" s="88" t="n">
        <f aca="false">C5*C7*1000</f>
        <v>1.46234</v>
      </c>
    </row>
    <row r="15" customFormat="false" ht="15" hidden="false" customHeight="true" outlineLevel="0" collapsed="false">
      <c r="A15" s="53" t="s">
        <v>465</v>
      </c>
      <c r="C15" s="88" t="n">
        <f aca="false">C13+C14</f>
        <v>5.118075</v>
      </c>
    </row>
    <row r="16" customFormat="false" ht="15" hidden="false" customHeight="true" outlineLevel="0" collapsed="false">
      <c r="A16" s="53" t="s">
        <v>466</v>
      </c>
      <c r="C16" s="61" t="n">
        <f aca="false">C8+C9+C10</f>
        <v>850</v>
      </c>
    </row>
    <row r="17" customFormat="false" ht="15" hidden="false" customHeight="true" outlineLevel="0" collapsed="false">
      <c r="A17" s="53" t="s">
        <v>467</v>
      </c>
      <c r="C17" s="88" t="n">
        <f aca="false">C16/1000</f>
        <v>0.85</v>
      </c>
    </row>
    <row r="19" customFormat="false" ht="15" hidden="false" customHeight="true" outlineLevel="0" collapsed="false">
      <c r="A19" s="84" t="s">
        <v>468</v>
      </c>
      <c r="C19" s="89" t="n">
        <f aca="false">C17</f>
        <v>0.85</v>
      </c>
    </row>
    <row r="21" customFormat="false" ht="15" hidden="false" customHeight="true" outlineLevel="0" collapsed="false">
      <c r="A21" s="77" t="s">
        <v>344</v>
      </c>
    </row>
    <row r="22" customFormat="false" ht="15" hidden="false" customHeight="true" outlineLevel="0" collapsed="false">
      <c r="A22" s="39" t="s">
        <v>469</v>
      </c>
    </row>
    <row r="23" customFormat="false" ht="15" hidden="false" customHeight="true" outlineLevel="0" collapsed="false">
      <c r="A23" s="39" t="s">
        <v>470</v>
      </c>
    </row>
  </sheetData>
  <mergeCells count="1">
    <mergeCell ref="A1:E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5"/>
    <col collapsed="false" customWidth="true" hidden="false" outlineLevel="0" max="2" min="2" style="1" width="4"/>
    <col collapsed="false" customWidth="true" hidden="false" outlineLevel="0" max="3" min="3" style="1" width="20"/>
    <col collapsed="false" customWidth="true" hidden="false" outlineLevel="0" max="4" min="4" style="1" width="16"/>
    <col collapsed="false" customWidth="true" hidden="false" outlineLevel="0" max="5" min="5" style="1" width="35"/>
  </cols>
  <sheetData>
    <row r="1" customFormat="false" ht="17.25" hidden="false" customHeight="true" outlineLevel="0" collapsed="false">
      <c r="A1" s="38" t="s">
        <v>471</v>
      </c>
      <c r="B1" s="38"/>
      <c r="C1" s="38"/>
      <c r="D1" s="38"/>
      <c r="E1" s="38"/>
    </row>
    <row r="3" customFormat="false" ht="15" hidden="false" customHeight="true" outlineLevel="0" collapsed="false">
      <c r="A3" s="77" t="s">
        <v>334</v>
      </c>
      <c r="C3" s="62" t="s">
        <v>197</v>
      </c>
      <c r="D3" s="62" t="s">
        <v>198</v>
      </c>
      <c r="E3" s="62" t="s">
        <v>335</v>
      </c>
    </row>
    <row r="4" customFormat="false" ht="15" hidden="false" customHeight="true" outlineLevel="0" collapsed="false">
      <c r="A4" s="53" t="s">
        <v>392</v>
      </c>
      <c r="C4" s="85" t="n">
        <f aca="false">Assumptions!C9</f>
        <v>11.319</v>
      </c>
      <c r="D4" s="53" t="s">
        <v>201</v>
      </c>
      <c r="E4" s="39" t="s">
        <v>337</v>
      </c>
    </row>
    <row r="5" customFormat="false" ht="15" hidden="false" customHeight="true" outlineLevel="0" collapsed="false">
      <c r="A5" s="53" t="s">
        <v>393</v>
      </c>
      <c r="C5" s="85" t="n">
        <f aca="false">Assumptions!C10</f>
        <v>3.381</v>
      </c>
      <c r="D5" s="53" t="s">
        <v>201</v>
      </c>
      <c r="E5" s="39" t="s">
        <v>337</v>
      </c>
    </row>
    <row r="6" customFormat="false" ht="15" hidden="false" customHeight="true" outlineLevel="0" collapsed="false">
      <c r="A6" s="53" t="s">
        <v>472</v>
      </c>
      <c r="C6" s="90" t="n">
        <v>0.06</v>
      </c>
      <c r="D6" s="53"/>
      <c r="E6" s="39" t="s">
        <v>473</v>
      </c>
    </row>
    <row r="7" customFormat="false" ht="15" hidden="false" customHeight="true" outlineLevel="0" collapsed="false">
      <c r="A7" s="53" t="s">
        <v>474</v>
      </c>
      <c r="C7" s="90" t="n">
        <v>0.15</v>
      </c>
      <c r="D7" s="53"/>
      <c r="E7" s="39" t="s">
        <v>475</v>
      </c>
    </row>
    <row r="8" customFormat="false" ht="15" hidden="false" customHeight="true" outlineLevel="0" collapsed="false">
      <c r="A8" s="53" t="s">
        <v>476</v>
      </c>
      <c r="C8" s="93" t="n">
        <f aca="false">Assumptions!C46</f>
        <v>0.436716077537058</v>
      </c>
      <c r="D8" s="53"/>
      <c r="E8" s="39" t="s">
        <v>477</v>
      </c>
    </row>
    <row r="9" customFormat="false" ht="15" hidden="false" customHeight="true" outlineLevel="0" collapsed="false">
      <c r="A9" s="53" t="s">
        <v>478</v>
      </c>
      <c r="C9" s="93" t="n">
        <f aca="false">Assumptions!C47</f>
        <v>0.476129853596435</v>
      </c>
      <c r="D9" s="53"/>
      <c r="E9" s="39" t="s">
        <v>479</v>
      </c>
    </row>
    <row r="10" customFormat="false" ht="15" hidden="false" customHeight="true" outlineLevel="0" collapsed="false">
      <c r="A10" s="53" t="s">
        <v>480</v>
      </c>
      <c r="C10" s="104" t="n">
        <v>12</v>
      </c>
      <c r="D10" s="53" t="s">
        <v>218</v>
      </c>
      <c r="E10" s="39" t="s">
        <v>481</v>
      </c>
    </row>
    <row r="11" customFormat="false" ht="15" hidden="false" customHeight="true" outlineLevel="0" collapsed="false">
      <c r="A11" s="53" t="s">
        <v>482</v>
      </c>
      <c r="C11" s="104" t="n">
        <v>28</v>
      </c>
      <c r="D11" s="53" t="s">
        <v>218</v>
      </c>
      <c r="E11" s="39" t="s">
        <v>483</v>
      </c>
    </row>
    <row r="13" customFormat="false" ht="15" hidden="false" customHeight="true" outlineLevel="0" collapsed="false">
      <c r="A13" s="77" t="s">
        <v>340</v>
      </c>
    </row>
    <row r="14" customFormat="false" ht="15" hidden="false" customHeight="true" outlineLevel="0" collapsed="false">
      <c r="A14" s="53" t="s">
        <v>484</v>
      </c>
      <c r="C14" s="55" t="n">
        <f aca="false">C4*(C6/(1-C6))</f>
        <v>0.722489361702128</v>
      </c>
    </row>
    <row r="15" customFormat="false" ht="15" hidden="false" customHeight="true" outlineLevel="0" collapsed="false">
      <c r="A15" s="53" t="s">
        <v>485</v>
      </c>
      <c r="C15" s="55" t="n">
        <f aca="false">C5*(C7/(1-C7))</f>
        <v>0.596647058823529</v>
      </c>
    </row>
    <row r="16" customFormat="false" ht="15" hidden="false" customHeight="true" outlineLevel="0" collapsed="false">
      <c r="A16" s="53" t="s">
        <v>486</v>
      </c>
      <c r="C16" s="55" t="n">
        <f aca="false">C14*C8</f>
        <v>0.315522720104806</v>
      </c>
    </row>
    <row r="17" customFormat="false" ht="15" hidden="false" customHeight="true" outlineLevel="0" collapsed="false">
      <c r="A17" s="53" t="s">
        <v>487</v>
      </c>
      <c r="C17" s="55" t="n">
        <f aca="false">C15*C9</f>
        <v>0.284081476766391</v>
      </c>
    </row>
    <row r="18" customFormat="false" ht="15" hidden="false" customHeight="true" outlineLevel="0" collapsed="false">
      <c r="A18" s="53" t="s">
        <v>488</v>
      </c>
      <c r="C18" s="55" t="n">
        <f aca="false">C16+C17</f>
        <v>0.599604196871197</v>
      </c>
    </row>
    <row r="19" customFormat="false" ht="15" hidden="false" customHeight="true" outlineLevel="0" collapsed="false">
      <c r="A19" s="53" t="s">
        <v>489</v>
      </c>
      <c r="C19" s="88" t="n">
        <f aca="false">C16*C10/10000*1000</f>
        <v>0.378627264125767</v>
      </c>
    </row>
    <row r="20" customFormat="false" ht="15" hidden="false" customHeight="true" outlineLevel="0" collapsed="false">
      <c r="A20" s="53" t="s">
        <v>490</v>
      </c>
      <c r="C20" s="88" t="n">
        <f aca="false">C17*C11/10000*1000</f>
        <v>0.795428134945894</v>
      </c>
    </row>
    <row r="21" customFormat="false" ht="15" hidden="false" customHeight="true" outlineLevel="0" collapsed="false">
      <c r="A21" s="53" t="s">
        <v>491</v>
      </c>
      <c r="C21" s="88" t="n">
        <f aca="false">C19+C20</f>
        <v>1.17405539907166</v>
      </c>
    </row>
    <row r="23" customFormat="false" ht="15" hidden="false" customHeight="true" outlineLevel="0" collapsed="false">
      <c r="A23" s="84" t="s">
        <v>492</v>
      </c>
      <c r="C23" s="89" t="n">
        <f aca="false">C21</f>
        <v>1.17405539907166</v>
      </c>
    </row>
    <row r="25" customFormat="false" ht="15" hidden="false" customHeight="true" outlineLevel="0" collapsed="false">
      <c r="A25" s="77" t="s">
        <v>344</v>
      </c>
    </row>
    <row r="26" customFormat="false" ht="15" hidden="false" customHeight="true" outlineLevel="0" collapsed="false">
      <c r="A26" s="39" t="s">
        <v>493</v>
      </c>
    </row>
    <row r="27" customFormat="false" ht="15" hidden="false" customHeight="true" outlineLevel="0" collapsed="false">
      <c r="A27" s="39" t="s">
        <v>494</v>
      </c>
    </row>
  </sheetData>
  <mergeCells count="1">
    <mergeCell ref="A1:E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5"/>
    <col collapsed="false" customWidth="true" hidden="false" outlineLevel="0" max="2" min="2" style="1" width="4"/>
    <col collapsed="false" customWidth="true" hidden="false" outlineLevel="0" max="3" min="3" style="1" width="20"/>
    <col collapsed="false" customWidth="true" hidden="false" outlineLevel="0" max="4" min="4" style="1" width="16"/>
    <col collapsed="false" customWidth="true" hidden="false" outlineLevel="0" max="5" min="5" style="1" width="35"/>
  </cols>
  <sheetData>
    <row r="1" customFormat="false" ht="17.25" hidden="false" customHeight="true" outlineLevel="0" collapsed="false">
      <c r="A1" s="38" t="s">
        <v>495</v>
      </c>
      <c r="B1" s="38"/>
      <c r="C1" s="38"/>
      <c r="D1" s="38"/>
      <c r="E1" s="38"/>
    </row>
    <row r="3" customFormat="false" ht="15" hidden="false" customHeight="true" outlineLevel="0" collapsed="false">
      <c r="A3" s="77" t="s">
        <v>334</v>
      </c>
      <c r="C3" s="62" t="s">
        <v>197</v>
      </c>
      <c r="D3" s="62" t="s">
        <v>198</v>
      </c>
      <c r="E3" s="62" t="s">
        <v>335</v>
      </c>
    </row>
    <row r="4" customFormat="false" ht="15" hidden="false" customHeight="true" outlineLevel="0" collapsed="false">
      <c r="A4" s="53" t="s">
        <v>465</v>
      </c>
      <c r="C4" s="79" t="n">
        <f aca="false">'BS4-MtM Volatility'!C15</f>
        <v>5.118075</v>
      </c>
      <c r="D4" s="53" t="s">
        <v>213</v>
      </c>
      <c r="E4" s="39" t="s">
        <v>496</v>
      </c>
    </row>
    <row r="5" customFormat="false" ht="15" hidden="false" customHeight="true" outlineLevel="0" collapsed="false">
      <c r="A5" s="53" t="s">
        <v>497</v>
      </c>
      <c r="C5" s="90" t="n">
        <v>0.1</v>
      </c>
      <c r="D5" s="53"/>
      <c r="E5" s="39" t="s">
        <v>498</v>
      </c>
    </row>
    <row r="7" customFormat="false" ht="15" hidden="false" customHeight="true" outlineLevel="0" collapsed="false">
      <c r="A7" s="77" t="s">
        <v>340</v>
      </c>
    </row>
    <row r="8" customFormat="false" ht="15" hidden="false" customHeight="true" outlineLevel="0" collapsed="false">
      <c r="A8" s="53" t="s">
        <v>499</v>
      </c>
      <c r="C8" s="88" t="n">
        <f aca="false">C4*C5</f>
        <v>0.5118075</v>
      </c>
    </row>
    <row r="10" customFormat="false" ht="15" hidden="false" customHeight="true" outlineLevel="0" collapsed="false">
      <c r="A10" s="84" t="s">
        <v>500</v>
      </c>
      <c r="C10" s="89" t="n">
        <f aca="false">C8</f>
        <v>0.5118075</v>
      </c>
    </row>
    <row r="12" customFormat="false" ht="15" hidden="false" customHeight="true" outlineLevel="0" collapsed="false">
      <c r="A12" s="77" t="s">
        <v>344</v>
      </c>
    </row>
    <row r="13" customFormat="false" ht="15" hidden="false" customHeight="true" outlineLevel="0" collapsed="false">
      <c r="A13" s="39" t="s">
        <v>501</v>
      </c>
    </row>
    <row r="14" customFormat="false" ht="15" hidden="false" customHeight="true" outlineLevel="0" collapsed="false">
      <c r="A14" s="39" t="s">
        <v>502</v>
      </c>
    </row>
  </sheetData>
  <mergeCells count="1">
    <mergeCell ref="A1:E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5"/>
    <col collapsed="false" customWidth="true" hidden="false" outlineLevel="0" max="2" min="2" style="1" width="4"/>
    <col collapsed="false" customWidth="true" hidden="false" outlineLevel="0" max="3" min="3" style="1" width="20"/>
    <col collapsed="false" customWidth="true" hidden="false" outlineLevel="0" max="4" min="4" style="1" width="16"/>
    <col collapsed="false" customWidth="true" hidden="false" outlineLevel="0" max="5" min="5" style="1" width="35"/>
  </cols>
  <sheetData>
    <row r="1" customFormat="false" ht="17.25" hidden="false" customHeight="true" outlineLevel="0" collapsed="false">
      <c r="A1" s="38" t="s">
        <v>503</v>
      </c>
      <c r="B1" s="38"/>
      <c r="C1" s="38"/>
      <c r="D1" s="38"/>
      <c r="E1" s="38"/>
    </row>
    <row r="3" customFormat="false" ht="15" hidden="false" customHeight="true" outlineLevel="0" collapsed="false">
      <c r="A3" s="77" t="s">
        <v>334</v>
      </c>
      <c r="C3" s="62" t="s">
        <v>197</v>
      </c>
      <c r="D3" s="62" t="s">
        <v>198</v>
      </c>
      <c r="E3" s="62" t="s">
        <v>335</v>
      </c>
    </row>
    <row r="4" customFormat="false" ht="15" hidden="false" customHeight="true" outlineLevel="0" collapsed="false">
      <c r="A4" s="53" t="s">
        <v>336</v>
      </c>
      <c r="C4" s="85" t="n">
        <f aca="false">Assumptions!C6</f>
        <v>14.7</v>
      </c>
      <c r="D4" s="53" t="s">
        <v>201</v>
      </c>
      <c r="E4" s="39" t="s">
        <v>337</v>
      </c>
    </row>
    <row r="5" customFormat="false" ht="15" hidden="false" customHeight="true" outlineLevel="0" collapsed="false">
      <c r="A5" s="53" t="s">
        <v>504</v>
      </c>
      <c r="C5" s="90" t="n">
        <v>0.125</v>
      </c>
      <c r="D5" s="53"/>
      <c r="E5" s="39" t="s">
        <v>505</v>
      </c>
    </row>
    <row r="6" customFormat="false" ht="15" hidden="false" customHeight="true" outlineLevel="0" collapsed="false">
      <c r="A6" s="53" t="s">
        <v>506</v>
      </c>
      <c r="C6" s="92" t="n">
        <f aca="false">Assumptions!C20</f>
        <v>36</v>
      </c>
      <c r="D6" s="53" t="s">
        <v>218</v>
      </c>
      <c r="E6" s="39" t="s">
        <v>337</v>
      </c>
    </row>
    <row r="7" customFormat="false" ht="15" hidden="false" customHeight="true" outlineLevel="0" collapsed="false">
      <c r="A7" s="53" t="s">
        <v>507</v>
      </c>
      <c r="C7" s="90" t="n">
        <v>0.25</v>
      </c>
      <c r="D7" s="53"/>
      <c r="E7" s="39" t="s">
        <v>508</v>
      </c>
    </row>
    <row r="8" customFormat="false" ht="15" hidden="false" customHeight="true" outlineLevel="0" collapsed="false">
      <c r="A8" s="53" t="s">
        <v>509</v>
      </c>
      <c r="C8" s="90" t="n">
        <v>0.3</v>
      </c>
      <c r="D8" s="53"/>
      <c r="E8" s="39" t="s">
        <v>510</v>
      </c>
    </row>
    <row r="10" customFormat="false" ht="15" hidden="false" customHeight="true" outlineLevel="0" collapsed="false">
      <c r="A10" s="77" t="s">
        <v>340</v>
      </c>
    </row>
    <row r="11" customFormat="false" ht="15" hidden="false" customHeight="true" outlineLevel="0" collapsed="false">
      <c r="A11" s="53" t="s">
        <v>511</v>
      </c>
      <c r="C11" s="55" t="n">
        <f aca="false">C4*C5</f>
        <v>1.8375</v>
      </c>
    </row>
    <row r="12" customFormat="false" ht="15" hidden="false" customHeight="true" outlineLevel="0" collapsed="false">
      <c r="A12" s="53" t="s">
        <v>512</v>
      </c>
      <c r="C12" s="88" t="n">
        <f aca="false">C11*C6/10000*1000</f>
        <v>6.615</v>
      </c>
    </row>
    <row r="13" customFormat="false" ht="15" hidden="false" customHeight="true" outlineLevel="0" collapsed="false">
      <c r="A13" s="53" t="s">
        <v>513</v>
      </c>
      <c r="C13" s="88" t="n">
        <f aca="false">C12*C7</f>
        <v>1.65375</v>
      </c>
    </row>
    <row r="14" customFormat="false" ht="15" hidden="false" customHeight="true" outlineLevel="0" collapsed="false">
      <c r="A14" s="53" t="s">
        <v>514</v>
      </c>
      <c r="C14" s="88" t="n">
        <f aca="false">C13*C8</f>
        <v>0.496125</v>
      </c>
    </row>
    <row r="16" customFormat="false" ht="15" hidden="false" customHeight="true" outlineLevel="0" collapsed="false">
      <c r="A16" s="84" t="s">
        <v>515</v>
      </c>
      <c r="C16" s="89" t="n">
        <f aca="false">C14</f>
        <v>0.496125</v>
      </c>
    </row>
    <row r="18" customFormat="false" ht="15" hidden="false" customHeight="true" outlineLevel="0" collapsed="false">
      <c r="A18" s="77" t="s">
        <v>344</v>
      </c>
    </row>
    <row r="19" customFormat="false" ht="15" hidden="false" customHeight="true" outlineLevel="0" collapsed="false">
      <c r="A19" s="39" t="s">
        <v>516</v>
      </c>
    </row>
    <row r="20" customFormat="false" ht="15" hidden="false" customHeight="true" outlineLevel="0" collapsed="false">
      <c r="A20" s="39" t="s">
        <v>517</v>
      </c>
    </row>
  </sheetData>
  <mergeCells count="1">
    <mergeCell ref="A1:E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2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2"/>
    <col collapsed="false" customWidth="true" hidden="false" outlineLevel="0" max="10" min="2" style="0" width="18"/>
  </cols>
  <sheetData>
    <row r="1" customFormat="false" ht="17.35" hidden="false" customHeight="false" outlineLevel="0" collapsed="false">
      <c r="A1" s="2" t="s">
        <v>98</v>
      </c>
    </row>
    <row r="2" customFormat="false" ht="15" hidden="false" customHeight="false" outlineLevel="0" collapsed="false">
      <c r="A2" s="3" t="s">
        <v>99</v>
      </c>
    </row>
    <row r="4" customFormat="false" ht="15" hidden="false" customHeight="false" outlineLevel="0" collapsed="false">
      <c r="A4" s="4" t="s">
        <v>100</v>
      </c>
    </row>
    <row r="5" customFormat="false" ht="15" hidden="false" customHeight="false" outlineLevel="0" collapsed="false">
      <c r="A5" s="21" t="s">
        <v>101</v>
      </c>
      <c r="B5" s="21" t="s">
        <v>102</v>
      </c>
      <c r="C5" s="21" t="s">
        <v>103</v>
      </c>
      <c r="D5" s="21" t="s">
        <v>104</v>
      </c>
      <c r="E5" s="21" t="s">
        <v>105</v>
      </c>
      <c r="F5" s="21" t="s">
        <v>106</v>
      </c>
      <c r="G5" s="21" t="s">
        <v>107</v>
      </c>
      <c r="H5" s="21" t="s">
        <v>108</v>
      </c>
    </row>
    <row r="6" customFormat="false" ht="15" hidden="false" customHeight="false" outlineLevel="0" collapsed="false">
      <c r="A6" s="6" t="s">
        <v>109</v>
      </c>
      <c r="B6" s="22" t="s">
        <v>110</v>
      </c>
      <c r="C6" s="23" t="n">
        <v>0.0961</v>
      </c>
      <c r="D6" s="23" t="n">
        <v>0.1003</v>
      </c>
      <c r="E6" s="24" t="n">
        <f aca="false">C6*Assumptions!C9*1000</f>
        <v>1087.7559</v>
      </c>
      <c r="F6" s="24" t="n">
        <f aca="false">D6*Assumptions!C10*1000</f>
        <v>339.1143</v>
      </c>
      <c r="G6" s="24" t="n">
        <f aca="false">E6+F6</f>
        <v>1426.8702</v>
      </c>
      <c r="H6" s="25" t="n">
        <f aca="false">G6/(Assumptions!C6*1000)</f>
        <v>0.097066</v>
      </c>
    </row>
    <row r="7" customFormat="false" ht="15" hidden="false" customHeight="false" outlineLevel="0" collapsed="false">
      <c r="A7" s="6" t="s">
        <v>111</v>
      </c>
      <c r="B7" s="22" t="s">
        <v>110</v>
      </c>
      <c r="C7" s="23" t="n">
        <v>0.0986</v>
      </c>
      <c r="D7" s="23" t="n">
        <v>0.0708</v>
      </c>
      <c r="E7" s="24" t="n">
        <f aca="false">C7*Assumptions!C9*1000</f>
        <v>1116.0534</v>
      </c>
      <c r="F7" s="24" t="n">
        <f aca="false">D7*Assumptions!C10*1000</f>
        <v>239.3748</v>
      </c>
      <c r="G7" s="24" t="n">
        <f aca="false">E7+F7</f>
        <v>1355.4282</v>
      </c>
      <c r="H7" s="25" t="n">
        <f aca="false">G7/(Assumptions!C6*1000)</f>
        <v>0.092206</v>
      </c>
    </row>
    <row r="8" customFormat="false" ht="15" hidden="false" customHeight="false" outlineLevel="0" collapsed="false">
      <c r="A8" s="6" t="s">
        <v>112</v>
      </c>
      <c r="B8" s="22" t="s">
        <v>110</v>
      </c>
      <c r="C8" s="23" t="n">
        <v>0.0913</v>
      </c>
      <c r="D8" s="23" t="n">
        <v>0.0678</v>
      </c>
      <c r="E8" s="24" t="n">
        <f aca="false">C8*Assumptions!C9*1000</f>
        <v>1033.4247</v>
      </c>
      <c r="F8" s="24" t="n">
        <f aca="false">D8*Assumptions!C10*1000</f>
        <v>229.2318</v>
      </c>
      <c r="G8" s="24" t="n">
        <f aca="false">E8+F8</f>
        <v>1262.6565</v>
      </c>
      <c r="H8" s="25" t="n">
        <f aca="false">G8/(Assumptions!C6*1000)</f>
        <v>0.085895</v>
      </c>
    </row>
    <row r="9" customFormat="false" ht="15" hidden="false" customHeight="false" outlineLevel="0" collapsed="false">
      <c r="A9" s="6" t="s">
        <v>113</v>
      </c>
      <c r="B9" s="22" t="s">
        <v>114</v>
      </c>
      <c r="C9" s="23" t="n">
        <v>0.045</v>
      </c>
      <c r="D9" s="23" t="n">
        <v>0.0414</v>
      </c>
      <c r="E9" s="24" t="n">
        <f aca="false">C9*Assumptions!C9*1000</f>
        <v>509.355</v>
      </c>
      <c r="F9" s="24" t="n">
        <f aca="false">D9*Assumptions!C10*1000</f>
        <v>139.9734</v>
      </c>
      <c r="G9" s="24" t="n">
        <f aca="false">E9+F9</f>
        <v>649.3284</v>
      </c>
      <c r="H9" s="25" t="n">
        <f aca="false">G9/(Assumptions!C6*1000)</f>
        <v>0.044172</v>
      </c>
    </row>
    <row r="10" customFormat="false" ht="15" hidden="false" customHeight="false" outlineLevel="0" collapsed="false">
      <c r="A10" s="6" t="s">
        <v>115</v>
      </c>
      <c r="B10" s="22" t="s">
        <v>116</v>
      </c>
      <c r="C10" s="23" t="n">
        <v>0.0301</v>
      </c>
      <c r="D10" s="23" t="n">
        <v>0.0339</v>
      </c>
      <c r="E10" s="24" t="n">
        <f aca="false">C10*Assumptions!C9*1000</f>
        <v>340.7019</v>
      </c>
      <c r="F10" s="24" t="n">
        <f aca="false">D10*Assumptions!C10*1000</f>
        <v>114.6159</v>
      </c>
      <c r="G10" s="24" t="n">
        <f aca="false">E10+F10</f>
        <v>455.3178</v>
      </c>
      <c r="H10" s="25" t="n">
        <f aca="false">G10/(Assumptions!C6*1000)</f>
        <v>0.030974</v>
      </c>
    </row>
    <row r="11" customFormat="false" ht="15" hidden="false" customHeight="false" outlineLevel="0" collapsed="false">
      <c r="A11" s="6" t="s">
        <v>117</v>
      </c>
      <c r="B11" s="22" t="s">
        <v>118</v>
      </c>
      <c r="C11" s="23" t="n">
        <v>0.0039</v>
      </c>
      <c r="D11" s="23" t="n">
        <v>0.0134</v>
      </c>
      <c r="E11" s="24" t="n">
        <f aca="false">C11*Assumptions!C9*1000</f>
        <v>44.1441</v>
      </c>
      <c r="F11" s="24" t="n">
        <f aca="false">D11*Assumptions!C10*1000</f>
        <v>45.3054</v>
      </c>
      <c r="G11" s="24" t="n">
        <f aca="false">E11+F11</f>
        <v>89.4495</v>
      </c>
      <c r="H11" s="25" t="n">
        <f aca="false">G11/(Assumptions!C6*1000)</f>
        <v>0.006085</v>
      </c>
    </row>
    <row r="14" customFormat="false" ht="15" hidden="false" customHeight="false" outlineLevel="0" collapsed="false">
      <c r="A14" s="4" t="s">
        <v>119</v>
      </c>
    </row>
    <row r="15" customFormat="false" ht="28.35" hidden="false" customHeight="false" outlineLevel="0" collapsed="false">
      <c r="A15" s="21" t="s">
        <v>39</v>
      </c>
      <c r="B15" s="21" t="s">
        <v>40</v>
      </c>
      <c r="C15" s="21" t="s">
        <v>28</v>
      </c>
      <c r="D15" s="21" t="s">
        <v>120</v>
      </c>
      <c r="E15" s="21" t="s">
        <v>32</v>
      </c>
      <c r="F15" s="21" t="s">
        <v>33</v>
      </c>
    </row>
    <row r="16" customFormat="false" ht="15" hidden="false" customHeight="false" outlineLevel="0" collapsed="false">
      <c r="A16" s="6" t="s">
        <v>121</v>
      </c>
      <c r="B16" s="22" t="s">
        <v>122</v>
      </c>
      <c r="C16" s="22" t="s">
        <v>123</v>
      </c>
      <c r="D16" s="26" t="n">
        <f aca="false">'SS1-Unprofit Trades'!C12</f>
        <v>3.4320825</v>
      </c>
      <c r="E16" s="26" t="n">
        <f aca="false">'BS Case Studies'!E19</f>
        <v>1.36008771929825</v>
      </c>
      <c r="F16" s="26" t="n">
        <f aca="false">'BS Case Studies'!F19</f>
        <v>2.82938596491228</v>
      </c>
    </row>
    <row r="17" customFormat="false" ht="15" hidden="false" customHeight="false" outlineLevel="0" collapsed="false">
      <c r="A17" s="6" t="s">
        <v>124</v>
      </c>
      <c r="B17" s="22" t="s">
        <v>122</v>
      </c>
      <c r="C17" s="22" t="s">
        <v>123</v>
      </c>
      <c r="D17" s="26" t="n">
        <f aca="false">'SS2-Capturing Trades'!C12</f>
        <v>3.4320825</v>
      </c>
      <c r="E17" s="26" t="n">
        <f aca="false">'BS Case Studies'!E19</f>
        <v>1.36008771929825</v>
      </c>
      <c r="F17" s="26" t="n">
        <f aca="false">'BS Case Studies'!F19</f>
        <v>2.82938596491228</v>
      </c>
    </row>
    <row r="18" customFormat="false" ht="15" hidden="false" customHeight="false" outlineLevel="0" collapsed="false">
      <c r="A18" s="6" t="s">
        <v>125</v>
      </c>
      <c r="B18" s="22" t="s">
        <v>126</v>
      </c>
      <c r="C18" s="22" t="s">
        <v>127</v>
      </c>
      <c r="D18" s="26" t="n">
        <f aca="false">'SS3-Competition'!C14</f>
        <v>1.425</v>
      </c>
      <c r="E18" s="26" t="n">
        <f aca="false">'BS Case Studies'!E19</f>
        <v>1.36008771929825</v>
      </c>
      <c r="F18" s="26" t="n">
        <f aca="false">'BS Case Studies'!F19</f>
        <v>2.82938596491228</v>
      </c>
    </row>
    <row r="19" customFormat="false" ht="15" hidden="false" customHeight="false" outlineLevel="0" collapsed="false">
      <c r="A19" s="6" t="s">
        <v>128</v>
      </c>
      <c r="B19" s="22" t="s">
        <v>129</v>
      </c>
      <c r="C19" s="22" t="s">
        <v>47</v>
      </c>
      <c r="D19" s="26" t="n">
        <f aca="false">'SS4-Inventory Risk'!C14</f>
        <v>1.764</v>
      </c>
      <c r="E19" s="26" t="n">
        <f aca="false">'BS Case Studies'!E20</f>
        <v>1.31646932185145</v>
      </c>
      <c r="F19" s="26" t="n">
        <f aca="false">'BS Case Studies'!F20</f>
        <v>2.95263724434876</v>
      </c>
    </row>
    <row r="20" customFormat="false" ht="15" hidden="false" customHeight="false" outlineLevel="0" collapsed="false">
      <c r="A20" s="6" t="s">
        <v>130</v>
      </c>
      <c r="B20" s="22" t="s">
        <v>122</v>
      </c>
      <c r="C20" s="22" t="s">
        <v>54</v>
      </c>
      <c r="D20" s="26" t="n">
        <f aca="false">'SS5-Oper Efficiencies'!C14</f>
        <v>1.764</v>
      </c>
      <c r="E20" s="26" t="n">
        <f aca="false">'BS Case Studies'!E21</f>
        <v>1.25165119973246</v>
      </c>
      <c r="F20" s="26" t="n">
        <f aca="false">'BS Case Studies'!F21</f>
        <v>2.54752947078004</v>
      </c>
    </row>
    <row r="21" customFormat="false" ht="15" hidden="false" customHeight="false" outlineLevel="0" collapsed="false">
      <c r="A21" s="15" t="s">
        <v>131</v>
      </c>
      <c r="D21" s="27" t="n">
        <f aca="false">SUM(D16:D20)</f>
        <v>11.817165</v>
      </c>
    </row>
    <row r="23" customFormat="false" ht="15" hidden="false" customHeight="false" outlineLevel="0" collapsed="false">
      <c r="A23" s="4" t="s">
        <v>132</v>
      </c>
    </row>
    <row r="24" customFormat="false" ht="15" hidden="false" customHeight="false" outlineLevel="0" collapsed="false">
      <c r="A24" s="3" t="s">
        <v>133</v>
      </c>
    </row>
    <row r="25" customFormat="false" ht="15" hidden="false" customHeight="false" outlineLevel="0" collapsed="false">
      <c r="A25" s="21" t="s">
        <v>102</v>
      </c>
      <c r="B25" s="21" t="s">
        <v>134</v>
      </c>
      <c r="C25" s="21" t="s">
        <v>135</v>
      </c>
    </row>
    <row r="26" customFormat="false" ht="41.75" hidden="false" customHeight="false" outlineLevel="0" collapsed="false">
      <c r="A26" s="6" t="s">
        <v>110</v>
      </c>
      <c r="B26" s="28" t="n">
        <v>0.5</v>
      </c>
      <c r="C26" s="29" t="s">
        <v>136</v>
      </c>
    </row>
    <row r="27" customFormat="false" ht="28.35" hidden="false" customHeight="false" outlineLevel="0" collapsed="false">
      <c r="A27" s="6" t="s">
        <v>114</v>
      </c>
      <c r="B27" s="28" t="n">
        <v>1</v>
      </c>
      <c r="C27" s="29" t="s">
        <v>137</v>
      </c>
    </row>
    <row r="28" customFormat="false" ht="41.75" hidden="false" customHeight="false" outlineLevel="0" collapsed="false">
      <c r="A28" s="6" t="s">
        <v>116</v>
      </c>
      <c r="B28" s="28" t="n">
        <v>1.5</v>
      </c>
      <c r="C28" s="29" t="s">
        <v>138</v>
      </c>
    </row>
    <row r="29" customFormat="false" ht="55.2" hidden="false" customHeight="false" outlineLevel="0" collapsed="false">
      <c r="A29" s="6" t="s">
        <v>118</v>
      </c>
      <c r="B29" s="28" t="n">
        <v>2.5</v>
      </c>
      <c r="C29" s="29" t="s">
        <v>139</v>
      </c>
    </row>
    <row r="31" customFormat="false" ht="15" hidden="false" customHeight="false" outlineLevel="0" collapsed="false">
      <c r="A31" s="4" t="s">
        <v>109</v>
      </c>
      <c r="B31" s="19" t="s">
        <v>140</v>
      </c>
      <c r="C31" s="30" t="n">
        <f aca="false">H6</f>
        <v>0.097066</v>
      </c>
      <c r="D31" s="19" t="s">
        <v>141</v>
      </c>
      <c r="E31" s="31" t="n">
        <f aca="false">B$26</f>
        <v>0.5</v>
      </c>
    </row>
    <row r="32" customFormat="false" ht="15" hidden="false" customHeight="false" outlineLevel="0" collapsed="false">
      <c r="A32" s="21" t="s">
        <v>39</v>
      </c>
      <c r="B32" s="21" t="s">
        <v>142</v>
      </c>
      <c r="C32" s="21" t="s">
        <v>143</v>
      </c>
      <c r="D32" s="21" t="s">
        <v>144</v>
      </c>
    </row>
    <row r="33" customFormat="false" ht="15" hidden="false" customHeight="false" outlineLevel="0" collapsed="false">
      <c r="A33" s="6" t="s">
        <v>121</v>
      </c>
      <c r="B33" s="32" t="n">
        <f aca="false">D$16*1000000000*$H$6</f>
        <v>333138519.945</v>
      </c>
      <c r="C33" s="32" t="n">
        <f aca="false">B33*E$16</f>
        <v>453097609.802388</v>
      </c>
      <c r="D33" s="32" t="n">
        <f aca="false">B33*F$16</f>
        <v>942577452.704033</v>
      </c>
    </row>
    <row r="34" customFormat="false" ht="15" hidden="false" customHeight="false" outlineLevel="0" collapsed="false">
      <c r="A34" s="6" t="s">
        <v>124</v>
      </c>
      <c r="B34" s="32" t="n">
        <f aca="false">D$17*1000000000*$H$6</f>
        <v>333138519.945</v>
      </c>
      <c r="C34" s="32" t="n">
        <f aca="false">B34*E$17</f>
        <v>453097609.802388</v>
      </c>
      <c r="D34" s="32" t="n">
        <f aca="false">B34*F$17</f>
        <v>942577452.704033</v>
      </c>
    </row>
    <row r="35" customFormat="false" ht="15" hidden="false" customHeight="false" outlineLevel="0" collapsed="false">
      <c r="A35" s="6" t="s">
        <v>125</v>
      </c>
      <c r="B35" s="32" t="n">
        <f aca="false">D$18*1000000000*$H$6*$B$26</f>
        <v>69159525</v>
      </c>
      <c r="C35" s="32" t="n">
        <f aca="false">B35*E$18</f>
        <v>94063020.625</v>
      </c>
      <c r="D35" s="32" t="n">
        <f aca="false">B35*F$18</f>
        <v>195678989.375</v>
      </c>
    </row>
    <row r="36" customFormat="false" ht="15" hidden="false" customHeight="false" outlineLevel="0" collapsed="false">
      <c r="A36" s="6" t="s">
        <v>128</v>
      </c>
      <c r="B36" s="32" t="n">
        <f aca="false">D$19*1000000000*$H$6</f>
        <v>171224424</v>
      </c>
      <c r="C36" s="32" t="n">
        <f aca="false">B36*E$19</f>
        <v>225411701.347686</v>
      </c>
      <c r="D36" s="32" t="n">
        <f aca="false">B36*F$19</f>
        <v>505563611.444564</v>
      </c>
    </row>
    <row r="37" customFormat="false" ht="15" hidden="false" customHeight="false" outlineLevel="0" collapsed="false">
      <c r="A37" s="6" t="s">
        <v>130</v>
      </c>
      <c r="B37" s="32" t="n">
        <f aca="false">D$20*1000000000*$H$6</f>
        <v>171224424</v>
      </c>
      <c r="C37" s="32" t="n">
        <f aca="false">B37*E$20</f>
        <v>214313255.7231</v>
      </c>
      <c r="D37" s="32" t="n">
        <f aca="false">B37*F$20</f>
        <v>436199266.257336</v>
      </c>
    </row>
    <row r="38" customFormat="false" ht="15" hidden="false" customHeight="false" outlineLevel="0" collapsed="false">
      <c r="A38" s="15" t="s">
        <v>61</v>
      </c>
      <c r="B38" s="33" t="n">
        <f aca="false">SUM(B33:B37)</f>
        <v>1077885412.89</v>
      </c>
      <c r="C38" s="33" t="n">
        <f aca="false">SUM(C33:C37)</f>
        <v>1439983197.30056</v>
      </c>
      <c r="D38" s="33" t="n">
        <f aca="false">SUM(D33:D37)</f>
        <v>3022596772.48497</v>
      </c>
    </row>
    <row r="39" customFormat="false" ht="15" hidden="false" customHeight="false" outlineLevel="0" collapsed="false">
      <c r="A39" s="34" t="s">
        <v>145</v>
      </c>
      <c r="B39" s="35" t="n">
        <f aca="false">(E6*0.0006+F6*0.001)*1000000000</f>
        <v>991767840</v>
      </c>
    </row>
    <row r="40" customFormat="false" ht="15" hidden="false" customHeight="false" outlineLevel="0" collapsed="false">
      <c r="A40" s="34" t="s">
        <v>146</v>
      </c>
      <c r="B40" s="36" t="n">
        <f aca="false">B38/B39</f>
        <v>1.08683239102611</v>
      </c>
      <c r="C40" s="36" t="n">
        <f aca="false">C38/B39</f>
        <v>1.45193576482634</v>
      </c>
      <c r="D40" s="36" t="n">
        <f aca="false">D38/B39</f>
        <v>3.04768580970015</v>
      </c>
    </row>
    <row r="41" customFormat="false" ht="15" hidden="false" customHeight="false" outlineLevel="0" collapsed="false">
      <c r="A41" s="34" t="s">
        <v>147</v>
      </c>
      <c r="B41" s="35" t="n">
        <f aca="false">B38*0.1</f>
        <v>107788541.289</v>
      </c>
      <c r="C41" s="35" t="n">
        <f aca="false">C38*0.1</f>
        <v>143998319.730056</v>
      </c>
      <c r="D41" s="35" t="n">
        <f aca="false">D38*0.1</f>
        <v>302259677.248497</v>
      </c>
    </row>
    <row r="44" customFormat="false" ht="15" hidden="false" customHeight="false" outlineLevel="0" collapsed="false">
      <c r="A44" s="4" t="s">
        <v>111</v>
      </c>
      <c r="B44" s="19" t="s">
        <v>140</v>
      </c>
      <c r="C44" s="30" t="n">
        <f aca="false">H7</f>
        <v>0.092206</v>
      </c>
      <c r="D44" s="19" t="s">
        <v>141</v>
      </c>
      <c r="E44" s="31" t="n">
        <f aca="false">B$26</f>
        <v>0.5</v>
      </c>
    </row>
    <row r="45" customFormat="false" ht="15" hidden="false" customHeight="false" outlineLevel="0" collapsed="false">
      <c r="A45" s="21" t="s">
        <v>39</v>
      </c>
      <c r="B45" s="21" t="s">
        <v>142</v>
      </c>
      <c r="C45" s="21" t="s">
        <v>143</v>
      </c>
      <c r="D45" s="21" t="s">
        <v>144</v>
      </c>
    </row>
    <row r="46" customFormat="false" ht="15" hidden="false" customHeight="false" outlineLevel="0" collapsed="false">
      <c r="A46" s="6" t="s">
        <v>121</v>
      </c>
      <c r="B46" s="32" t="n">
        <f aca="false">D$16*1000000000*$H$7</f>
        <v>316458598.995</v>
      </c>
      <c r="C46" s="32" t="n">
        <f aca="false">B46*E$16</f>
        <v>430411454.159428</v>
      </c>
      <c r="D46" s="32" t="n">
        <f aca="false">B46*F$16</f>
        <v>895383518.472256</v>
      </c>
    </row>
    <row r="47" customFormat="false" ht="15" hidden="false" customHeight="false" outlineLevel="0" collapsed="false">
      <c r="A47" s="6" t="s">
        <v>124</v>
      </c>
      <c r="B47" s="32" t="n">
        <f aca="false">D$17*1000000000*$H$7</f>
        <v>316458598.995</v>
      </c>
      <c r="C47" s="32" t="n">
        <f aca="false">B47*E$17</f>
        <v>430411454.159428</v>
      </c>
      <c r="D47" s="32" t="n">
        <f aca="false">B47*F$17</f>
        <v>895383518.472256</v>
      </c>
    </row>
    <row r="48" customFormat="false" ht="15" hidden="false" customHeight="false" outlineLevel="0" collapsed="false">
      <c r="A48" s="6" t="s">
        <v>125</v>
      </c>
      <c r="B48" s="32" t="n">
        <f aca="false">D$18*1000000000*$H$7*$B$26</f>
        <v>65696775</v>
      </c>
      <c r="C48" s="32" t="n">
        <f aca="false">B48*E$18</f>
        <v>89353376.875</v>
      </c>
      <c r="D48" s="32" t="n">
        <f aca="false">B48*F$18</f>
        <v>185881533.125</v>
      </c>
    </row>
    <row r="49" customFormat="false" ht="15" hidden="false" customHeight="false" outlineLevel="0" collapsed="false">
      <c r="A49" s="6" t="s">
        <v>128</v>
      </c>
      <c r="B49" s="32" t="n">
        <f aca="false">D$19*1000000000*$H$7</f>
        <v>162651384</v>
      </c>
      <c r="C49" s="32" t="n">
        <f aca="false">B49*E$19</f>
        <v>214125557.19268</v>
      </c>
      <c r="D49" s="32" t="n">
        <f aca="false">B49*F$19</f>
        <v>480250534.243272</v>
      </c>
    </row>
    <row r="50" customFormat="false" ht="15" hidden="false" customHeight="false" outlineLevel="0" collapsed="false">
      <c r="A50" s="6" t="s">
        <v>130</v>
      </c>
      <c r="B50" s="32" t="n">
        <f aca="false">D$20*1000000000*$H$7</f>
        <v>162651384</v>
      </c>
      <c r="C50" s="32" t="n">
        <f aca="false">B50*E$20</f>
        <v>203582799.921746</v>
      </c>
      <c r="D50" s="32" t="n">
        <f aca="false">B50*F$20</f>
        <v>414359194.20316</v>
      </c>
    </row>
    <row r="51" customFormat="false" ht="15" hidden="false" customHeight="false" outlineLevel="0" collapsed="false">
      <c r="A51" s="15" t="s">
        <v>61</v>
      </c>
      <c r="B51" s="33" t="n">
        <f aca="false">SUM(B46:B50)</f>
        <v>1023916740.99</v>
      </c>
      <c r="C51" s="33" t="n">
        <f aca="false">SUM(C46:C50)</f>
        <v>1367884642.30828</v>
      </c>
      <c r="D51" s="33" t="n">
        <f aca="false">SUM(D46:D50)</f>
        <v>2871258298.51595</v>
      </c>
    </row>
    <row r="52" customFormat="false" ht="15" hidden="false" customHeight="false" outlineLevel="0" collapsed="false">
      <c r="A52" s="34" t="s">
        <v>145</v>
      </c>
      <c r="B52" s="35" t="n">
        <f aca="false">(E7*0.0006+F7*0.001)*1000000000</f>
        <v>909006840</v>
      </c>
    </row>
    <row r="53" customFormat="false" ht="15" hidden="false" customHeight="false" outlineLevel="0" collapsed="false">
      <c r="A53" s="34" t="s">
        <v>146</v>
      </c>
      <c r="B53" s="36" t="n">
        <f aca="false">B51/B52</f>
        <v>1.12641258121886</v>
      </c>
      <c r="C53" s="36" t="n">
        <f aca="false">C51/B52</f>
        <v>1.50481226555818</v>
      </c>
      <c r="D53" s="36" t="n">
        <f aca="false">D51/B52</f>
        <v>3.1586762301106</v>
      </c>
    </row>
    <row r="54" customFormat="false" ht="15" hidden="false" customHeight="false" outlineLevel="0" collapsed="false">
      <c r="A54" s="34" t="s">
        <v>147</v>
      </c>
      <c r="B54" s="35" t="n">
        <f aca="false">B51*0.1</f>
        <v>102391674.099</v>
      </c>
      <c r="C54" s="35" t="n">
        <f aca="false">C51*0.1</f>
        <v>136788464.230828</v>
      </c>
      <c r="D54" s="35" t="n">
        <f aca="false">D51*0.1</f>
        <v>287125829.851595</v>
      </c>
    </row>
    <row r="57" customFormat="false" ht="15" hidden="false" customHeight="false" outlineLevel="0" collapsed="false">
      <c r="A57" s="4" t="s">
        <v>112</v>
      </c>
      <c r="B57" s="19" t="s">
        <v>140</v>
      </c>
      <c r="C57" s="30" t="n">
        <f aca="false">H8</f>
        <v>0.085895</v>
      </c>
      <c r="D57" s="19" t="s">
        <v>141</v>
      </c>
      <c r="E57" s="31" t="n">
        <f aca="false">B$26</f>
        <v>0.5</v>
      </c>
    </row>
    <row r="58" customFormat="false" ht="15" hidden="false" customHeight="false" outlineLevel="0" collapsed="false">
      <c r="A58" s="21" t="s">
        <v>39</v>
      </c>
      <c r="B58" s="21" t="s">
        <v>142</v>
      </c>
      <c r="C58" s="21" t="s">
        <v>143</v>
      </c>
      <c r="D58" s="21" t="s">
        <v>144</v>
      </c>
    </row>
    <row r="59" customFormat="false" ht="15" hidden="false" customHeight="false" outlineLevel="0" collapsed="false">
      <c r="A59" s="6" t="s">
        <v>121</v>
      </c>
      <c r="B59" s="32" t="n">
        <f aca="false">D$16*1000000000*$H$8</f>
        <v>294798726.3375</v>
      </c>
      <c r="C59" s="32" t="n">
        <f aca="false">B59*E$16</f>
        <v>400952127.356398</v>
      </c>
      <c r="D59" s="32" t="n">
        <f aca="false">B59*F$16</f>
        <v>834099378.773339</v>
      </c>
    </row>
    <row r="60" customFormat="false" ht="15" hidden="false" customHeight="false" outlineLevel="0" collapsed="false">
      <c r="A60" s="6" t="s">
        <v>124</v>
      </c>
      <c r="B60" s="32" t="n">
        <f aca="false">D$17*1000000000*$H$8</f>
        <v>294798726.3375</v>
      </c>
      <c r="C60" s="32" t="n">
        <f aca="false">B60*E$17</f>
        <v>400952127.356398</v>
      </c>
      <c r="D60" s="32" t="n">
        <f aca="false">B60*F$17</f>
        <v>834099378.773339</v>
      </c>
    </row>
    <row r="61" customFormat="false" ht="15" hidden="false" customHeight="false" outlineLevel="0" collapsed="false">
      <c r="A61" s="6" t="s">
        <v>125</v>
      </c>
      <c r="B61" s="32" t="n">
        <f aca="false">D$18*1000000000*$H$8*$B$26</f>
        <v>61200187.5</v>
      </c>
      <c r="C61" s="32" t="n">
        <f aca="false">B61*E$18</f>
        <v>83237623.4375</v>
      </c>
      <c r="D61" s="32" t="n">
        <f aca="false">B61*F$18</f>
        <v>173158951.5625</v>
      </c>
    </row>
    <row r="62" customFormat="false" ht="15" hidden="false" customHeight="false" outlineLevel="0" collapsed="false">
      <c r="A62" s="6" t="s">
        <v>128</v>
      </c>
      <c r="B62" s="32" t="n">
        <f aca="false">D$19*1000000000*$H$8</f>
        <v>151518780</v>
      </c>
      <c r="C62" s="32" t="n">
        <f aca="false">B62*E$19</f>
        <v>199469825.55436</v>
      </c>
      <c r="D62" s="32" t="n">
        <f aca="false">B62*F$19</f>
        <v>447379993.046286</v>
      </c>
    </row>
    <row r="63" customFormat="false" ht="15" hidden="false" customHeight="false" outlineLevel="0" collapsed="false">
      <c r="A63" s="6" t="s">
        <v>130</v>
      </c>
      <c r="B63" s="32" t="n">
        <f aca="false">D$20*1000000000*$H$8</f>
        <v>151518780</v>
      </c>
      <c r="C63" s="32" t="n">
        <f aca="false">B63*E$20</f>
        <v>189648662.768999</v>
      </c>
      <c r="D63" s="32" t="n">
        <f aca="false">B63*F$20</f>
        <v>385998557.426637</v>
      </c>
    </row>
    <row r="64" customFormat="false" ht="15" hidden="false" customHeight="false" outlineLevel="0" collapsed="false">
      <c r="A64" s="15" t="s">
        <v>61</v>
      </c>
      <c r="B64" s="33" t="n">
        <f aca="false">SUM(B59:B63)</f>
        <v>953835200.175</v>
      </c>
      <c r="C64" s="33" t="n">
        <f aca="false">SUM(C59:C63)</f>
        <v>1274260366.47365</v>
      </c>
      <c r="D64" s="33" t="n">
        <f aca="false">SUM(D59:D63)</f>
        <v>2674736259.5821</v>
      </c>
    </row>
    <row r="65" customFormat="false" ht="15" hidden="false" customHeight="false" outlineLevel="0" collapsed="false">
      <c r="A65" s="34" t="s">
        <v>145</v>
      </c>
      <c r="B65" s="35" t="n">
        <f aca="false">(E8*0.0006+F8*0.001)*1000000000</f>
        <v>849286620</v>
      </c>
    </row>
    <row r="66" customFormat="false" ht="15" hidden="false" customHeight="false" outlineLevel="0" collapsed="false">
      <c r="A66" s="34" t="s">
        <v>146</v>
      </c>
      <c r="B66" s="36" t="n">
        <f aca="false">B64/B65</f>
        <v>1.12310164520783</v>
      </c>
      <c r="C66" s="36" t="n">
        <f aca="false">C64/B65</f>
        <v>1.50038907533202</v>
      </c>
      <c r="D66" s="36" t="n">
        <f aca="false">D64/B65</f>
        <v>3.14939173253677</v>
      </c>
    </row>
    <row r="67" customFormat="false" ht="15" hidden="false" customHeight="false" outlineLevel="0" collapsed="false">
      <c r="A67" s="34" t="s">
        <v>147</v>
      </c>
      <c r="B67" s="35" t="n">
        <f aca="false">B64*0.1</f>
        <v>95383520.0175</v>
      </c>
      <c r="C67" s="35" t="n">
        <f aca="false">C64*0.1</f>
        <v>127426036.647365</v>
      </c>
      <c r="D67" s="35" t="n">
        <f aca="false">D64*0.1</f>
        <v>267473625.95821</v>
      </c>
    </row>
    <row r="70" customFormat="false" ht="15" hidden="false" customHeight="false" outlineLevel="0" collapsed="false">
      <c r="A70" s="4" t="s">
        <v>113</v>
      </c>
      <c r="B70" s="19" t="s">
        <v>140</v>
      </c>
      <c r="C70" s="30" t="n">
        <f aca="false">H9</f>
        <v>0.044172</v>
      </c>
      <c r="D70" s="19" t="s">
        <v>148</v>
      </c>
      <c r="E70" s="31" t="n">
        <f aca="false">B$27</f>
        <v>1</v>
      </c>
    </row>
    <row r="71" customFormat="false" ht="15" hidden="false" customHeight="false" outlineLevel="0" collapsed="false">
      <c r="A71" s="21" t="s">
        <v>39</v>
      </c>
      <c r="B71" s="21" t="s">
        <v>142</v>
      </c>
      <c r="C71" s="21" t="s">
        <v>143</v>
      </c>
      <c r="D71" s="21" t="s">
        <v>144</v>
      </c>
    </row>
    <row r="72" customFormat="false" ht="15" hidden="false" customHeight="false" outlineLevel="0" collapsed="false">
      <c r="A72" s="6" t="s">
        <v>121</v>
      </c>
      <c r="B72" s="32" t="n">
        <f aca="false">D$16*1000000000*$H$9</f>
        <v>151601948.19</v>
      </c>
      <c r="C72" s="32" t="n">
        <f aca="false">B72*E$16</f>
        <v>206191947.954908</v>
      </c>
      <c r="D72" s="32" t="n">
        <f aca="false">B72*F$16</f>
        <v>428940424.462145</v>
      </c>
    </row>
    <row r="73" customFormat="false" ht="15" hidden="false" customHeight="false" outlineLevel="0" collapsed="false">
      <c r="A73" s="6" t="s">
        <v>124</v>
      </c>
      <c r="B73" s="32" t="n">
        <f aca="false">D$17*1000000000*$H$9</f>
        <v>151601948.19</v>
      </c>
      <c r="C73" s="32" t="n">
        <f aca="false">B73*E$17</f>
        <v>206191947.954908</v>
      </c>
      <c r="D73" s="32" t="n">
        <f aca="false">B73*F$17</f>
        <v>428940424.462145</v>
      </c>
    </row>
    <row r="74" customFormat="false" ht="15" hidden="false" customHeight="false" outlineLevel="0" collapsed="false">
      <c r="A74" s="6" t="s">
        <v>125</v>
      </c>
      <c r="B74" s="32" t="n">
        <f aca="false">D$18*1000000000*$H$9*$B$27</f>
        <v>62945100</v>
      </c>
      <c r="C74" s="32" t="n">
        <f aca="false">B74*E$18</f>
        <v>85610857.5</v>
      </c>
      <c r="D74" s="32" t="n">
        <f aca="false">B74*F$18</f>
        <v>178095982.5</v>
      </c>
    </row>
    <row r="75" customFormat="false" ht="15" hidden="false" customHeight="false" outlineLevel="0" collapsed="false">
      <c r="A75" s="6" t="s">
        <v>128</v>
      </c>
      <c r="B75" s="32" t="n">
        <f aca="false">D$19*1000000000*$H$9</f>
        <v>77919408</v>
      </c>
      <c r="C75" s="32" t="n">
        <f aca="false">B75*E$19</f>
        <v>102578510.208827</v>
      </c>
      <c r="D75" s="32" t="n">
        <f aca="false">B75*F$19</f>
        <v>230067746.118407</v>
      </c>
    </row>
    <row r="76" customFormat="false" ht="15" hidden="false" customHeight="false" outlineLevel="0" collapsed="false">
      <c r="A76" s="6" t="s">
        <v>130</v>
      </c>
      <c r="B76" s="32" t="n">
        <f aca="false">D$20*1000000000*$H$9</f>
        <v>77919408</v>
      </c>
      <c r="C76" s="32" t="n">
        <f aca="false">B76*E$20</f>
        <v>97527920.5056433</v>
      </c>
      <c r="D76" s="32" t="n">
        <f aca="false">B76*F$20</f>
        <v>198501988.225734</v>
      </c>
    </row>
    <row r="77" customFormat="false" ht="15" hidden="false" customHeight="false" outlineLevel="0" collapsed="false">
      <c r="A77" s="15" t="s">
        <v>61</v>
      </c>
      <c r="B77" s="33" t="n">
        <f aca="false">SUM(B72:B76)</f>
        <v>521987812.38</v>
      </c>
      <c r="C77" s="33" t="n">
        <f aca="false">SUM(C72:C76)</f>
        <v>698101184.124286</v>
      </c>
      <c r="D77" s="33" t="n">
        <f aca="false">SUM(D72:D76)</f>
        <v>1464546565.76843</v>
      </c>
    </row>
    <row r="78" customFormat="false" ht="15" hidden="false" customHeight="false" outlineLevel="0" collapsed="false">
      <c r="A78" s="34" t="s">
        <v>145</v>
      </c>
      <c r="B78" s="35" t="n">
        <f aca="false">(E9*0.0006+F9*0.001)*1000000000</f>
        <v>445586400</v>
      </c>
    </row>
    <row r="79" customFormat="false" ht="15" hidden="false" customHeight="false" outlineLevel="0" collapsed="false">
      <c r="A79" s="34" t="s">
        <v>146</v>
      </c>
      <c r="B79" s="36" t="n">
        <f aca="false">B77/B78</f>
        <v>1.17146262179456</v>
      </c>
      <c r="C79" s="36" t="n">
        <f aca="false">C77/B78</f>
        <v>1.56670217969912</v>
      </c>
      <c r="D79" s="36" t="n">
        <f aca="false">D77/B78</f>
        <v>3.28678470834933</v>
      </c>
    </row>
    <row r="80" customFormat="false" ht="15" hidden="false" customHeight="false" outlineLevel="0" collapsed="false">
      <c r="A80" s="34" t="s">
        <v>147</v>
      </c>
      <c r="B80" s="35" t="n">
        <f aca="false">B77*0.1</f>
        <v>52198781.238</v>
      </c>
      <c r="C80" s="35" t="n">
        <f aca="false">C77*0.1</f>
        <v>69810118.4124286</v>
      </c>
      <c r="D80" s="35" t="n">
        <f aca="false">D77*0.1</f>
        <v>146454656.576843</v>
      </c>
    </row>
    <row r="83" customFormat="false" ht="15" hidden="false" customHeight="false" outlineLevel="0" collapsed="false">
      <c r="A83" s="4" t="s">
        <v>115</v>
      </c>
      <c r="B83" s="19" t="s">
        <v>140</v>
      </c>
      <c r="C83" s="30" t="n">
        <f aca="false">H10</f>
        <v>0.030974</v>
      </c>
      <c r="D83" s="19" t="s">
        <v>149</v>
      </c>
      <c r="E83" s="31" t="n">
        <f aca="false">B$28</f>
        <v>1.5</v>
      </c>
    </row>
    <row r="84" customFormat="false" ht="15" hidden="false" customHeight="false" outlineLevel="0" collapsed="false">
      <c r="A84" s="21" t="s">
        <v>39</v>
      </c>
      <c r="B84" s="21" t="s">
        <v>142</v>
      </c>
      <c r="C84" s="21" t="s">
        <v>143</v>
      </c>
      <c r="D84" s="21" t="s">
        <v>144</v>
      </c>
    </row>
    <row r="85" customFormat="false" ht="15" hidden="false" customHeight="false" outlineLevel="0" collapsed="false">
      <c r="A85" s="6" t="s">
        <v>121</v>
      </c>
      <c r="B85" s="32" t="n">
        <f aca="false">D$16*1000000000*$H$10</f>
        <v>106305323.355</v>
      </c>
      <c r="C85" s="32" t="n">
        <f aca="false">B85*E$16</f>
        <v>144584564.791164</v>
      </c>
      <c r="D85" s="32" t="n">
        <f aca="false">B85*F$16</f>
        <v>300778789.896099</v>
      </c>
    </row>
    <row r="86" customFormat="false" ht="15" hidden="false" customHeight="false" outlineLevel="0" collapsed="false">
      <c r="A86" s="6" t="s">
        <v>124</v>
      </c>
      <c r="B86" s="32" t="n">
        <f aca="false">D$17*1000000000*$H$10</f>
        <v>106305323.355</v>
      </c>
      <c r="C86" s="32" t="n">
        <f aca="false">B86*E$17</f>
        <v>144584564.791164</v>
      </c>
      <c r="D86" s="32" t="n">
        <f aca="false">B86*F$17</f>
        <v>300778789.896099</v>
      </c>
    </row>
    <row r="87" customFormat="false" ht="15" hidden="false" customHeight="false" outlineLevel="0" collapsed="false">
      <c r="A87" s="6" t="s">
        <v>125</v>
      </c>
      <c r="B87" s="32" t="n">
        <f aca="false">D$18*1000000000*$H$10*$B$28</f>
        <v>66206925</v>
      </c>
      <c r="C87" s="32" t="n">
        <f aca="false">B87*E$18</f>
        <v>90047225.625</v>
      </c>
      <c r="D87" s="32" t="n">
        <f aca="false">B87*F$18</f>
        <v>187324944.375</v>
      </c>
    </row>
    <row r="88" customFormat="false" ht="15" hidden="false" customHeight="false" outlineLevel="0" collapsed="false">
      <c r="A88" s="6" t="s">
        <v>128</v>
      </c>
      <c r="B88" s="32" t="n">
        <f aca="false">D$19*1000000000*$H$10</f>
        <v>54638136</v>
      </c>
      <c r="C88" s="32" t="n">
        <f aca="false">B88*E$19</f>
        <v>71929429.8471475</v>
      </c>
      <c r="D88" s="32" t="n">
        <f aca="false">B88*F$19</f>
        <v>161326595.315393</v>
      </c>
    </row>
    <row r="89" customFormat="false" ht="15" hidden="false" customHeight="false" outlineLevel="0" collapsed="false">
      <c r="A89" s="6" t="s">
        <v>130</v>
      </c>
      <c r="B89" s="32" t="n">
        <f aca="false">D$20*1000000000*$H$10</f>
        <v>54638136</v>
      </c>
      <c r="C89" s="32" t="n">
        <f aca="false">B89*E$20</f>
        <v>68387888.4755455</v>
      </c>
      <c r="D89" s="32" t="n">
        <f aca="false">B89*F$20</f>
        <v>139192261.688488</v>
      </c>
    </row>
    <row r="90" customFormat="false" ht="15" hidden="false" customHeight="false" outlineLevel="0" collapsed="false">
      <c r="A90" s="15" t="s">
        <v>61</v>
      </c>
      <c r="B90" s="33" t="n">
        <f aca="false">SUM(B85:B89)</f>
        <v>388093843.71</v>
      </c>
      <c r="C90" s="33" t="n">
        <f aca="false">SUM(C85:C89)</f>
        <v>519533673.530022</v>
      </c>
      <c r="D90" s="33" t="n">
        <f aca="false">SUM(D85:D89)</f>
        <v>1089401381.17108</v>
      </c>
    </row>
    <row r="91" customFormat="false" ht="15" hidden="false" customHeight="false" outlineLevel="0" collapsed="false">
      <c r="A91" s="34" t="s">
        <v>145</v>
      </c>
      <c r="B91" s="35" t="n">
        <f aca="false">(E10*0.0006+F10*0.001)*1000000000</f>
        <v>319037040</v>
      </c>
    </row>
    <row r="92" customFormat="false" ht="15" hidden="false" customHeight="false" outlineLevel="0" collapsed="false">
      <c r="A92" s="34" t="s">
        <v>146</v>
      </c>
      <c r="B92" s="36" t="n">
        <f aca="false">B90/B91</f>
        <v>1.21645387541835</v>
      </c>
      <c r="C92" s="36" t="n">
        <f aca="false">C90/B91</f>
        <v>1.62844312224694</v>
      </c>
      <c r="D92" s="36" t="n">
        <f aca="false">D90/B91</f>
        <v>3.41465486631608</v>
      </c>
    </row>
    <row r="93" customFormat="false" ht="15" hidden="false" customHeight="false" outlineLevel="0" collapsed="false">
      <c r="A93" s="34" t="s">
        <v>147</v>
      </c>
      <c r="B93" s="35" t="n">
        <f aca="false">B90*0.1</f>
        <v>38809384.371</v>
      </c>
      <c r="C93" s="35" t="n">
        <f aca="false">C90*0.1</f>
        <v>51953367.3530022</v>
      </c>
      <c r="D93" s="35" t="n">
        <f aca="false">D90*0.1</f>
        <v>108940138.117108</v>
      </c>
    </row>
    <row r="96" customFormat="false" ht="15" hidden="false" customHeight="false" outlineLevel="0" collapsed="false">
      <c r="A96" s="4" t="s">
        <v>117</v>
      </c>
      <c r="B96" s="19" t="s">
        <v>140</v>
      </c>
      <c r="C96" s="30" t="n">
        <f aca="false">H11</f>
        <v>0.006085</v>
      </c>
      <c r="D96" s="19" t="s">
        <v>150</v>
      </c>
      <c r="E96" s="31" t="n">
        <f aca="false">B$29</f>
        <v>2.5</v>
      </c>
    </row>
    <row r="97" customFormat="false" ht="15" hidden="false" customHeight="false" outlineLevel="0" collapsed="false">
      <c r="A97" s="21" t="s">
        <v>39</v>
      </c>
      <c r="B97" s="21" t="s">
        <v>142</v>
      </c>
      <c r="C97" s="21" t="s">
        <v>143</v>
      </c>
      <c r="D97" s="21" t="s">
        <v>144</v>
      </c>
    </row>
    <row r="98" customFormat="false" ht="15" hidden="false" customHeight="false" outlineLevel="0" collapsed="false">
      <c r="A98" s="6" t="s">
        <v>121</v>
      </c>
      <c r="B98" s="32" t="n">
        <f aca="false">D$16*1000000000*$H$11</f>
        <v>20884222.0125</v>
      </c>
      <c r="C98" s="32" t="n">
        <f aca="false">B98*E$16</f>
        <v>28404373.8862993</v>
      </c>
      <c r="D98" s="32" t="n">
        <f aca="false">B98*F$16</f>
        <v>59089524.6502796</v>
      </c>
    </row>
    <row r="99" customFormat="false" ht="15" hidden="false" customHeight="false" outlineLevel="0" collapsed="false">
      <c r="A99" s="6" t="s">
        <v>124</v>
      </c>
      <c r="B99" s="32" t="n">
        <f aca="false">D$17*1000000000*$H$11</f>
        <v>20884222.0125</v>
      </c>
      <c r="C99" s="32" t="n">
        <f aca="false">B99*E$17</f>
        <v>28404373.8862993</v>
      </c>
      <c r="D99" s="32" t="n">
        <f aca="false">B99*F$17</f>
        <v>59089524.6502796</v>
      </c>
    </row>
    <row r="100" customFormat="false" ht="15" hidden="false" customHeight="false" outlineLevel="0" collapsed="false">
      <c r="A100" s="6" t="s">
        <v>125</v>
      </c>
      <c r="B100" s="32" t="n">
        <f aca="false">D$18*1000000000*$H$11*$B$29</f>
        <v>21677812.5</v>
      </c>
      <c r="C100" s="32" t="n">
        <f aca="false">B100*E$18</f>
        <v>29483726.5625</v>
      </c>
      <c r="D100" s="32" t="n">
        <f aca="false">B100*F$18</f>
        <v>61334898.4375</v>
      </c>
    </row>
    <row r="101" customFormat="false" ht="15" hidden="false" customHeight="false" outlineLevel="0" collapsed="false">
      <c r="A101" s="6" t="s">
        <v>128</v>
      </c>
      <c r="B101" s="32" t="n">
        <f aca="false">D$19*1000000000*$H$11</f>
        <v>10733940</v>
      </c>
      <c r="C101" s="32" t="n">
        <f aca="false">B101*E$19</f>
        <v>14130902.7125942</v>
      </c>
      <c r="D101" s="32" t="n">
        <f aca="false">B101*F$19</f>
        <v>31693431.0226049</v>
      </c>
    </row>
    <row r="102" customFormat="false" ht="15" hidden="false" customHeight="false" outlineLevel="0" collapsed="false">
      <c r="A102" s="6" t="s">
        <v>130</v>
      </c>
      <c r="B102" s="32" t="n">
        <f aca="false">D$20*1000000000*$H$11</f>
        <v>10733940</v>
      </c>
      <c r="C102" s="32" t="n">
        <f aca="false">B102*E$20</f>
        <v>13435148.8788563</v>
      </c>
      <c r="D102" s="32" t="n">
        <f aca="false">B102*F$20</f>
        <v>27345028.4875847</v>
      </c>
    </row>
    <row r="103" customFormat="false" ht="15" hidden="false" customHeight="false" outlineLevel="0" collapsed="false">
      <c r="A103" s="15" t="s">
        <v>61</v>
      </c>
      <c r="B103" s="33" t="n">
        <f aca="false">SUM(B98:B102)</f>
        <v>84914136.525</v>
      </c>
      <c r="C103" s="33" t="n">
        <f aca="false">SUM(C98:C102)</f>
        <v>113858525.926549</v>
      </c>
      <c r="D103" s="33" t="n">
        <f aca="false">SUM(D98:D102)</f>
        <v>238552407.248249</v>
      </c>
    </row>
    <row r="104" customFormat="false" ht="15" hidden="false" customHeight="false" outlineLevel="0" collapsed="false">
      <c r="A104" s="34" t="s">
        <v>145</v>
      </c>
      <c r="B104" s="35" t="n">
        <f aca="false">(E11*0.0006+F11*0.001)*1000000000</f>
        <v>71791860</v>
      </c>
    </row>
    <row r="105" customFormat="false" ht="15" hidden="false" customHeight="false" outlineLevel="0" collapsed="false">
      <c r="A105" s="34" t="s">
        <v>146</v>
      </c>
      <c r="B105" s="36" t="n">
        <f aca="false">B103/B104</f>
        <v>1.18278223359863</v>
      </c>
      <c r="C105" s="36" t="n">
        <f aca="false">C103/B104</f>
        <v>1.58595314185409</v>
      </c>
      <c r="D105" s="36" t="n">
        <f aca="false">D103/B104</f>
        <v>3.32283363668595</v>
      </c>
    </row>
    <row r="106" customFormat="false" ht="15" hidden="false" customHeight="false" outlineLevel="0" collapsed="false">
      <c r="A106" s="34" t="s">
        <v>147</v>
      </c>
      <c r="B106" s="35" t="n">
        <f aca="false">B103*0.1</f>
        <v>8491413.6525</v>
      </c>
      <c r="C106" s="35" t="n">
        <f aca="false">C103*0.1</f>
        <v>11385852.5926549</v>
      </c>
      <c r="D106" s="35" t="n">
        <f aca="false">D103*0.1</f>
        <v>23855240.7248249</v>
      </c>
    </row>
    <row r="109" customFormat="false" ht="15" hidden="false" customHeight="false" outlineLevel="0" collapsed="false">
      <c r="A109" s="4" t="s">
        <v>151</v>
      </c>
    </row>
    <row r="110" customFormat="false" ht="15" hidden="false" customHeight="false" outlineLevel="0" collapsed="false">
      <c r="A110" s="21" t="s">
        <v>152</v>
      </c>
      <c r="B110" s="21" t="s">
        <v>109</v>
      </c>
      <c r="C110" s="21" t="s">
        <v>111</v>
      </c>
      <c r="D110" s="21" t="s">
        <v>112</v>
      </c>
      <c r="E110" s="21" t="s">
        <v>113</v>
      </c>
      <c r="F110" s="21" t="s">
        <v>115</v>
      </c>
      <c r="G110" s="21" t="s">
        <v>117</v>
      </c>
    </row>
    <row r="111" customFormat="false" ht="15" hidden="false" customHeight="false" outlineLevel="0" collapsed="false">
      <c r="A111" s="6" t="s">
        <v>153</v>
      </c>
      <c r="B111" s="32" t="n">
        <f aca="false">B38</f>
        <v>1077885412.89</v>
      </c>
      <c r="C111" s="32" t="n">
        <f aca="false">B51</f>
        <v>1023916740.99</v>
      </c>
      <c r="D111" s="32" t="n">
        <f aca="false">B64</f>
        <v>953835200.175</v>
      </c>
      <c r="E111" s="32" t="n">
        <f aca="false">B77</f>
        <v>521987812.38</v>
      </c>
      <c r="F111" s="32" t="n">
        <f aca="false">B90</f>
        <v>388093843.71</v>
      </c>
      <c r="G111" s="32" t="n">
        <f aca="false">B103</f>
        <v>84914136.525</v>
      </c>
    </row>
    <row r="112" customFormat="false" ht="15" hidden="false" customHeight="false" outlineLevel="0" collapsed="false">
      <c r="A112" s="6" t="s">
        <v>154</v>
      </c>
      <c r="B112" s="32" t="n">
        <f aca="false">C38</f>
        <v>1439983197.30056</v>
      </c>
      <c r="C112" s="32" t="n">
        <f aca="false">C51</f>
        <v>1367884642.30828</v>
      </c>
      <c r="D112" s="32" t="n">
        <f aca="false">C64</f>
        <v>1274260366.47365</v>
      </c>
      <c r="E112" s="32" t="n">
        <f aca="false">C77</f>
        <v>698101184.124286</v>
      </c>
      <c r="F112" s="32" t="n">
        <f aca="false">C90</f>
        <v>519533673.530022</v>
      </c>
      <c r="G112" s="32" t="n">
        <f aca="false">C103</f>
        <v>113858525.926549</v>
      </c>
    </row>
    <row r="113" customFormat="false" ht="15" hidden="false" customHeight="false" outlineLevel="0" collapsed="false">
      <c r="A113" s="6" t="s">
        <v>155</v>
      </c>
      <c r="B113" s="32" t="n">
        <f aca="false">D38</f>
        <v>3022596772.48497</v>
      </c>
      <c r="C113" s="32" t="n">
        <f aca="false">D51</f>
        <v>2871258298.51595</v>
      </c>
      <c r="D113" s="32" t="n">
        <f aca="false">D64</f>
        <v>2674736259.5821</v>
      </c>
      <c r="E113" s="32" t="n">
        <f aca="false">D77</f>
        <v>1464546565.76843</v>
      </c>
      <c r="F113" s="32" t="n">
        <f aca="false">D90</f>
        <v>1089401381.17108</v>
      </c>
      <c r="G113" s="32" t="n">
        <f aca="false">D103</f>
        <v>238552407.248249</v>
      </c>
    </row>
    <row r="114" customFormat="false" ht="15" hidden="false" customHeight="false" outlineLevel="0" collapsed="false">
      <c r="A114" s="6" t="s">
        <v>156</v>
      </c>
      <c r="B114" s="37" t="n">
        <f aca="false">B40</f>
        <v>1.08683239102611</v>
      </c>
      <c r="C114" s="37" t="n">
        <f aca="false">B53</f>
        <v>1.12641258121886</v>
      </c>
      <c r="D114" s="37" t="n">
        <f aca="false">B66</f>
        <v>1.12310164520783</v>
      </c>
      <c r="E114" s="37" t="n">
        <f aca="false">B79</f>
        <v>1.17146262179456</v>
      </c>
      <c r="F114" s="37" t="n">
        <f aca="false">B92</f>
        <v>1.21645387541835</v>
      </c>
      <c r="G114" s="37" t="n">
        <f aca="false">B105</f>
        <v>1.18278223359863</v>
      </c>
    </row>
    <row r="115" customFormat="false" ht="15" hidden="false" customHeight="false" outlineLevel="0" collapsed="false">
      <c r="A115" s="6" t="s">
        <v>157</v>
      </c>
      <c r="B115" s="32" t="n">
        <f aca="false">B41</f>
        <v>107788541.289</v>
      </c>
      <c r="C115" s="32" t="n">
        <f aca="false">B54</f>
        <v>102391674.099</v>
      </c>
      <c r="D115" s="32" t="n">
        <f aca="false">B67</f>
        <v>95383520.0175</v>
      </c>
      <c r="E115" s="32" t="n">
        <f aca="false">B80</f>
        <v>52198781.238</v>
      </c>
      <c r="F115" s="32" t="n">
        <f aca="false">B93</f>
        <v>38809384.371</v>
      </c>
      <c r="G115" s="32" t="n">
        <f aca="false">B106</f>
        <v>8491413.6525</v>
      </c>
    </row>
    <row r="118" customFormat="false" ht="15" hidden="false" customHeight="false" outlineLevel="0" collapsed="false">
      <c r="A118" s="4" t="s">
        <v>158</v>
      </c>
    </row>
    <row r="119" customFormat="false" ht="15" hidden="false" customHeight="false" outlineLevel="0" collapsed="false">
      <c r="A119" s="3" t="s">
        <v>159</v>
      </c>
    </row>
    <row r="120" customFormat="false" ht="15" hidden="false" customHeight="false" outlineLevel="0" collapsed="false">
      <c r="A120" s="3" t="s">
        <v>160</v>
      </c>
    </row>
    <row r="121" customFormat="false" ht="15" hidden="false" customHeight="false" outlineLevel="0" collapsed="false">
      <c r="A121" s="3" t="s">
        <v>161</v>
      </c>
    </row>
    <row r="122" customFormat="false" ht="15" hidden="false" customHeight="false" outlineLevel="0" collapsed="false">
      <c r="A122" s="3" t="s">
        <v>162</v>
      </c>
    </row>
    <row r="123" customFormat="false" ht="15" hidden="false" customHeight="false" outlineLevel="0" collapsed="false">
      <c r="A123" s="3" t="s">
        <v>163</v>
      </c>
    </row>
    <row r="124" customFormat="false" ht="15" hidden="false" customHeight="false" outlineLevel="0" collapsed="false">
      <c r="A124" s="3" t="s">
        <v>164</v>
      </c>
    </row>
    <row r="125" customFormat="false" ht="15" hidden="false" customHeight="false" outlineLevel="0" collapsed="false">
      <c r="A125" s="3" t="s">
        <v>165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5"/>
    <col collapsed="false" customWidth="true" hidden="false" outlineLevel="0" max="2" min="2" style="1" width="4"/>
    <col collapsed="false" customWidth="true" hidden="false" outlineLevel="0" max="3" min="3" style="1" width="20"/>
    <col collapsed="false" customWidth="true" hidden="false" outlineLevel="0" max="4" min="4" style="1" width="16"/>
    <col collapsed="false" customWidth="true" hidden="false" outlineLevel="0" max="5" min="5" style="1" width="35"/>
  </cols>
  <sheetData>
    <row r="1" customFormat="false" ht="17.25" hidden="false" customHeight="true" outlineLevel="0" collapsed="false">
      <c r="A1" s="38" t="s">
        <v>518</v>
      </c>
      <c r="B1" s="38"/>
      <c r="C1" s="38"/>
      <c r="D1" s="38"/>
      <c r="E1" s="38"/>
    </row>
    <row r="3" customFormat="false" ht="15" hidden="false" customHeight="true" outlineLevel="0" collapsed="false">
      <c r="A3" s="77" t="s">
        <v>334</v>
      </c>
      <c r="C3" s="62" t="s">
        <v>197</v>
      </c>
      <c r="D3" s="62" t="s">
        <v>198</v>
      </c>
      <c r="E3" s="62" t="s">
        <v>335</v>
      </c>
    </row>
    <row r="4" customFormat="false" ht="15" hidden="false" customHeight="true" outlineLevel="0" collapsed="false">
      <c r="A4" s="53" t="s">
        <v>519</v>
      </c>
      <c r="C4" s="85" t="n">
        <f aca="false">Assumptions!C27</f>
        <v>16.5</v>
      </c>
      <c r="D4" s="53" t="s">
        <v>213</v>
      </c>
      <c r="E4" s="39" t="s">
        <v>337</v>
      </c>
    </row>
    <row r="5" customFormat="false" ht="15" hidden="false" customHeight="true" outlineLevel="0" collapsed="false">
      <c r="A5" s="53" t="s">
        <v>520</v>
      </c>
      <c r="C5" s="90" t="n">
        <v>0.07</v>
      </c>
      <c r="D5" s="53"/>
      <c r="E5" s="39" t="s">
        <v>521</v>
      </c>
    </row>
    <row r="6" customFormat="false" ht="15" hidden="false" customHeight="true" outlineLevel="0" collapsed="false">
      <c r="A6" s="53" t="s">
        <v>522</v>
      </c>
      <c r="C6" s="90" t="n">
        <v>0.25</v>
      </c>
      <c r="D6" s="53"/>
      <c r="E6" s="39" t="s">
        <v>523</v>
      </c>
    </row>
    <row r="7" customFormat="false" ht="15" hidden="false" customHeight="true" outlineLevel="0" collapsed="false">
      <c r="A7" s="53" t="s">
        <v>524</v>
      </c>
      <c r="C7" s="90" t="n">
        <v>0.42</v>
      </c>
      <c r="D7" s="53"/>
      <c r="E7" s="39" t="s">
        <v>525</v>
      </c>
    </row>
    <row r="8" customFormat="false" ht="15" hidden="false" customHeight="true" outlineLevel="0" collapsed="false">
      <c r="A8" s="53" t="s">
        <v>526</v>
      </c>
      <c r="C8" s="91" t="n">
        <v>1.5</v>
      </c>
      <c r="D8" s="53" t="s">
        <v>359</v>
      </c>
      <c r="E8" s="39" t="s">
        <v>527</v>
      </c>
    </row>
    <row r="10" customFormat="false" ht="15" hidden="false" customHeight="true" outlineLevel="0" collapsed="false">
      <c r="A10" s="77" t="s">
        <v>340</v>
      </c>
    </row>
    <row r="11" customFormat="false" ht="15" hidden="false" customHeight="true" outlineLevel="0" collapsed="false">
      <c r="A11" s="53" t="s">
        <v>528</v>
      </c>
      <c r="C11" s="88" t="n">
        <f aca="false">C4*C5</f>
        <v>1.155</v>
      </c>
    </row>
    <row r="12" customFormat="false" ht="15" hidden="false" customHeight="true" outlineLevel="0" collapsed="false">
      <c r="A12" s="53" t="s">
        <v>529</v>
      </c>
      <c r="C12" s="88" t="n">
        <f aca="false">C11*C6</f>
        <v>0.28875</v>
      </c>
    </row>
    <row r="13" customFormat="false" ht="15" hidden="false" customHeight="true" outlineLevel="0" collapsed="false">
      <c r="A13" s="53" t="s">
        <v>374</v>
      </c>
      <c r="C13" s="88" t="n">
        <f aca="false">C12*C7</f>
        <v>0.121275</v>
      </c>
    </row>
    <row r="14" customFormat="false" ht="15" hidden="false" customHeight="true" outlineLevel="0" collapsed="false">
      <c r="A14" s="53" t="s">
        <v>530</v>
      </c>
      <c r="C14" s="88" t="n">
        <f aca="false">C13*C8</f>
        <v>0.1819125</v>
      </c>
    </row>
    <row r="16" customFormat="false" ht="15" hidden="false" customHeight="true" outlineLevel="0" collapsed="false">
      <c r="A16" s="84" t="s">
        <v>531</v>
      </c>
      <c r="C16" s="89" t="n">
        <f aca="false">C14</f>
        <v>0.1819125</v>
      </c>
    </row>
    <row r="18" customFormat="false" ht="15" hidden="false" customHeight="true" outlineLevel="0" collapsed="false">
      <c r="A18" s="77" t="s">
        <v>344</v>
      </c>
    </row>
    <row r="19" customFormat="false" ht="15" hidden="false" customHeight="true" outlineLevel="0" collapsed="false">
      <c r="A19" s="39" t="s">
        <v>532</v>
      </c>
    </row>
    <row r="20" customFormat="false" ht="15" hidden="false" customHeight="true" outlineLevel="0" collapsed="false">
      <c r="A20" s="39" t="s">
        <v>533</v>
      </c>
    </row>
  </sheetData>
  <mergeCells count="1">
    <mergeCell ref="A1:E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8"/>
    <col collapsed="false" customWidth="true" hidden="false" outlineLevel="0" max="2" min="2" style="1" width="40"/>
    <col collapsed="false" customWidth="true" hidden="false" outlineLevel="0" max="3" min="3" style="1" width="45"/>
    <col collapsed="false" customWidth="true" hidden="false" outlineLevel="0" max="4" min="4" style="1" width="20"/>
    <col collapsed="false" customWidth="true" hidden="false" outlineLevel="0" max="5" min="5" style="1" width="18"/>
    <col collapsed="false" customWidth="true" hidden="false" outlineLevel="0" max="7" min="6" style="1" width="22"/>
  </cols>
  <sheetData>
    <row r="1" customFormat="false" ht="17.25" hidden="false" customHeight="true" outlineLevel="0" collapsed="false">
      <c r="A1" s="38" t="s">
        <v>166</v>
      </c>
      <c r="B1" s="38"/>
      <c r="C1" s="38"/>
      <c r="D1" s="38"/>
      <c r="E1" s="38"/>
      <c r="F1" s="38"/>
      <c r="G1" s="38"/>
    </row>
    <row r="2" customFormat="false" ht="15" hidden="false" customHeight="true" outlineLevel="0" collapsed="false">
      <c r="A2" s="39" t="s">
        <v>167</v>
      </c>
    </row>
    <row r="4" customFormat="false" ht="15" hidden="false" customHeight="true" outlineLevel="0" collapsed="false">
      <c r="A4" s="40" t="s">
        <v>168</v>
      </c>
      <c r="B4" s="40" t="s">
        <v>169</v>
      </c>
      <c r="C4" s="40" t="s">
        <v>170</v>
      </c>
      <c r="D4" s="40" t="s">
        <v>28</v>
      </c>
      <c r="E4" s="40" t="s">
        <v>171</v>
      </c>
      <c r="F4" s="40" t="s">
        <v>172</v>
      </c>
      <c r="G4" s="40" t="s">
        <v>173</v>
      </c>
    </row>
    <row r="5" customFormat="false" ht="15" hidden="false" customHeight="true" outlineLevel="0" collapsed="false">
      <c r="A5" s="41" t="n">
        <v>1</v>
      </c>
      <c r="B5" s="42" t="s">
        <v>43</v>
      </c>
      <c r="C5" s="43" t="s">
        <v>174</v>
      </c>
      <c r="D5" s="41" t="s">
        <v>34</v>
      </c>
      <c r="E5" s="44" t="n">
        <f aca="false">'BS1-Trading Losses'!C16</f>
        <v>4.46170725</v>
      </c>
      <c r="F5" s="44" t="n">
        <f aca="false">'BS1-Trading Losses'!C16*Assumptions!C57/Assumptions!C43</f>
        <v>6.08968815</v>
      </c>
      <c r="G5" s="44" t="n">
        <f aca="false">'BS1-Trading Losses'!C16*Assumptions!C66/Assumptions!C43</f>
        <v>12.73519065</v>
      </c>
    </row>
    <row r="6" customFormat="false" ht="15" hidden="false" customHeight="true" outlineLevel="0" collapsed="false">
      <c r="A6" s="41" t="n">
        <v>2</v>
      </c>
      <c r="B6" s="42" t="s">
        <v>175</v>
      </c>
      <c r="C6" s="43" t="s">
        <v>176</v>
      </c>
      <c r="D6" s="41" t="s">
        <v>47</v>
      </c>
      <c r="E6" s="45" t="n">
        <f aca="false">'BS2-Hedging Costs'!C28</f>
        <v>1.43597175379427</v>
      </c>
      <c r="F6" s="45" t="n">
        <f aca="false">'BS2-Hedging Costs'!C29</f>
        <v>1.9464586846543</v>
      </c>
      <c r="G6" s="45" t="n">
        <f aca="false">'BS2-Hedging Costs'!C30</f>
        <v>4.20799957841484</v>
      </c>
    </row>
    <row r="7" customFormat="false" ht="15" hidden="false" customHeight="true" outlineLevel="0" collapsed="false">
      <c r="A7" s="41" t="n">
        <v>3</v>
      </c>
      <c r="B7" s="42" t="s">
        <v>48</v>
      </c>
      <c r="C7" s="43" t="s">
        <v>177</v>
      </c>
      <c r="D7" s="41" t="s">
        <v>34</v>
      </c>
      <c r="E7" s="44" t="n">
        <f aca="false">'BS3-Alpha Generation'!C15</f>
        <v>0.972785062713797</v>
      </c>
      <c r="F7" s="44" t="n">
        <f aca="false">'BS3-Alpha Generation'!C15*Assumptions!C57/Assumptions!C43</f>
        <v>1.32773338477221</v>
      </c>
      <c r="G7" s="44" t="n">
        <f aca="false">'BS3-Alpha Generation'!C15*Assumptions!C66/Assumptions!C43</f>
        <v>2.7766508515619</v>
      </c>
    </row>
    <row r="8" customFormat="false" ht="15" hidden="false" customHeight="true" outlineLevel="0" collapsed="false">
      <c r="A8" s="41" t="n">
        <v>4</v>
      </c>
      <c r="B8" s="42" t="s">
        <v>49</v>
      </c>
      <c r="C8" s="43" t="s">
        <v>178</v>
      </c>
      <c r="D8" s="41" t="s">
        <v>34</v>
      </c>
      <c r="E8" s="44" t="n">
        <f aca="false">'BS4-MtM Volatility'!C19</f>
        <v>0.85</v>
      </c>
      <c r="F8" s="44" t="n">
        <f aca="false">'BS4-MtM Volatility'!C19*Assumptions!C57/Assumptions!C43</f>
        <v>1.16014669664846</v>
      </c>
      <c r="G8" s="44" t="n">
        <f aca="false">'BS4-MtM Volatility'!C19*Assumptions!C66/Assumptions!C43</f>
        <v>2.42618160402613</v>
      </c>
    </row>
    <row r="9" customFormat="false" ht="15" hidden="false" customHeight="true" outlineLevel="0" collapsed="false">
      <c r="A9" s="41" t="n">
        <v>5</v>
      </c>
      <c r="B9" s="42" t="s">
        <v>50</v>
      </c>
      <c r="C9" s="43" t="s">
        <v>179</v>
      </c>
      <c r="D9" s="41" t="s">
        <v>47</v>
      </c>
      <c r="E9" s="44" t="n">
        <f aca="false">'BS5-Opportunity Costs'!C23</f>
        <v>1.17405539907166</v>
      </c>
      <c r="F9" s="44" t="n">
        <f aca="false">'BS5-Opportunity Costs'!C23*Assumptions!C57/Assumptions!C43</f>
        <v>1.60244293284151</v>
      </c>
      <c r="G9" s="44" t="n">
        <f aca="false">'BS5-Opportunity Costs'!C23*Assumptions!C66/Assumptions!C43</f>
        <v>3.35114307215908</v>
      </c>
    </row>
    <row r="10" customFormat="false" ht="15" hidden="false" customHeight="true" outlineLevel="0" collapsed="false">
      <c r="A10" s="41" t="n">
        <v>6</v>
      </c>
      <c r="B10" s="42" t="s">
        <v>180</v>
      </c>
      <c r="C10" s="43" t="s">
        <v>181</v>
      </c>
      <c r="D10" s="41" t="s">
        <v>34</v>
      </c>
      <c r="E10" s="44" t="n">
        <f aca="false">'BS6-Perf Attribution'!C10</f>
        <v>0.5118075</v>
      </c>
      <c r="F10" s="44" t="n">
        <f aca="false">'BS6-Perf Attribution'!C10*Assumptions!C57/Assumptions!C43</f>
        <v>0.698555035817539</v>
      </c>
      <c r="G10" s="44" t="n">
        <f aca="false">'BS6-Perf Attribution'!C10*Assumptions!C66/Assumptions!C43</f>
        <v>1.46086816623836</v>
      </c>
    </row>
    <row r="11" customFormat="false" ht="15" hidden="false" customHeight="true" outlineLevel="0" collapsed="false">
      <c r="A11" s="41" t="n">
        <v>7</v>
      </c>
      <c r="B11" s="42" t="s">
        <v>52</v>
      </c>
      <c r="C11" s="43" t="s">
        <v>182</v>
      </c>
      <c r="D11" s="41" t="s">
        <v>183</v>
      </c>
      <c r="E11" s="44" t="n">
        <f aca="false">'BS7-Portfolio Optim'!C16</f>
        <v>0.496125</v>
      </c>
      <c r="F11" s="44" t="n">
        <f aca="false">'BS7-Portfolio Optim'!C16*Assumptions!C57/Assumptions!C43</f>
        <v>0.677150329264375</v>
      </c>
      <c r="G11" s="44" t="n">
        <f aca="false">'BS7-Portfolio Optim'!C16*Assumptions!C66/Assumptions!C43</f>
        <v>1.41610511564407</v>
      </c>
    </row>
    <row r="12" customFormat="false" ht="15" hidden="false" customHeight="true" outlineLevel="0" collapsed="false">
      <c r="A12" s="41" t="n">
        <v>8</v>
      </c>
      <c r="B12" s="42" t="s">
        <v>53</v>
      </c>
      <c r="C12" s="43" t="s">
        <v>184</v>
      </c>
      <c r="D12" s="41" t="s">
        <v>54</v>
      </c>
      <c r="E12" s="44" t="n">
        <f aca="false">'BS8-Regulatory'!C16</f>
        <v>0.1819125</v>
      </c>
      <c r="F12" s="44" t="n">
        <f aca="false">'BS8-Regulatory'!C16*Assumptions!C57/Assumptions!C43</f>
        <v>0.248288454063604</v>
      </c>
      <c r="G12" s="44" t="n">
        <f aca="false">'BS8-Regulatory'!C16*Assumptions!C66/Assumptions!C43</f>
        <v>0.519238542402827</v>
      </c>
    </row>
    <row r="13" customFormat="false" ht="15" hidden="false" customHeight="true" outlineLevel="0" collapsed="false">
      <c r="B13" s="46" t="s">
        <v>185</v>
      </c>
      <c r="E13" s="47" t="n">
        <f aca="false">SUM(E5:E12)</f>
        <v>10.0843644655797</v>
      </c>
      <c r="F13" s="47" t="n">
        <f aca="false">SUM(F5:F12)</f>
        <v>13.750463668062</v>
      </c>
      <c r="G13" s="47" t="n">
        <f aca="false">SUM(G5:G12)</f>
        <v>28.8933775804472</v>
      </c>
    </row>
    <row r="15" customFormat="false" ht="15" hidden="false" customHeight="true" outlineLevel="0" collapsed="false">
      <c r="B15" s="48" t="s">
        <v>186</v>
      </c>
      <c r="E15" s="49" t="n">
        <f aca="false">E13+'Sell-Side Summary'!E10</f>
        <v>21.9015294655797</v>
      </c>
      <c r="F15" s="49" t="n">
        <f aca="false">F13+'Sell-Side Summary'!F10</f>
        <v>29.8794577133559</v>
      </c>
      <c r="G15" s="49" t="n">
        <f aca="false">G13+'Sell-Side Summary'!G10</f>
        <v>62.6234815036724</v>
      </c>
    </row>
  </sheetData>
  <mergeCells count="1">
    <mergeCell ref="A1:G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8"/>
    <col collapsed="false" customWidth="true" hidden="false" outlineLevel="0" max="2" min="2" style="1" width="35"/>
    <col collapsed="false" customWidth="true" hidden="false" outlineLevel="0" max="3" min="3" style="1" width="45"/>
    <col collapsed="false" customWidth="true" hidden="false" outlineLevel="0" max="4" min="4" style="1" width="20"/>
    <col collapsed="false" customWidth="true" hidden="false" outlineLevel="0" max="5" min="5" style="1" width="18"/>
    <col collapsed="false" customWidth="true" hidden="false" outlineLevel="0" max="7" min="6" style="1" width="22"/>
  </cols>
  <sheetData>
    <row r="1" customFormat="false" ht="17.25" hidden="false" customHeight="true" outlineLevel="0" collapsed="false">
      <c r="A1" s="38" t="s">
        <v>187</v>
      </c>
      <c r="B1" s="38"/>
      <c r="C1" s="38"/>
      <c r="D1" s="38"/>
      <c r="E1" s="38"/>
      <c r="F1" s="38"/>
      <c r="G1" s="38"/>
    </row>
    <row r="2" customFormat="false" ht="15" hidden="false" customHeight="true" outlineLevel="0" collapsed="false">
      <c r="A2" s="39" t="s">
        <v>188</v>
      </c>
    </row>
    <row r="4" customFormat="false" ht="15" hidden="false" customHeight="true" outlineLevel="0" collapsed="false">
      <c r="A4" s="50" t="s">
        <v>168</v>
      </c>
      <c r="B4" s="50" t="s">
        <v>169</v>
      </c>
      <c r="C4" s="50" t="s">
        <v>170</v>
      </c>
      <c r="D4" s="50" t="s">
        <v>28</v>
      </c>
      <c r="E4" s="50" t="s">
        <v>171</v>
      </c>
      <c r="F4" s="50" t="s">
        <v>172</v>
      </c>
      <c r="G4" s="50" t="s">
        <v>173</v>
      </c>
    </row>
    <row r="5" customFormat="false" ht="26.25" hidden="false" customHeight="true" outlineLevel="0" collapsed="false">
      <c r="A5" s="41" t="n">
        <v>1</v>
      </c>
      <c r="B5" s="42" t="s">
        <v>121</v>
      </c>
      <c r="C5" s="43" t="s">
        <v>189</v>
      </c>
      <c r="D5" s="41" t="s">
        <v>123</v>
      </c>
      <c r="E5" s="44" t="n">
        <f aca="false">'SS1-Unprofit Trades'!C12</f>
        <v>3.4320825</v>
      </c>
      <c r="F5" s="44" t="n">
        <f aca="false">'SS1-Unprofit Trades'!C12*Assumptions!C57/Assumptions!C43</f>
        <v>4.6843755</v>
      </c>
      <c r="G5" s="44" t="n">
        <f aca="false">'SS1-Unprofit Trades'!C12*Assumptions!C66/Assumptions!C43</f>
        <v>9.7963005</v>
      </c>
    </row>
    <row r="6" customFormat="false" ht="15" hidden="false" customHeight="true" outlineLevel="0" collapsed="false">
      <c r="A6" s="41" t="n">
        <v>2</v>
      </c>
      <c r="B6" s="42" t="s">
        <v>124</v>
      </c>
      <c r="C6" s="43" t="s">
        <v>190</v>
      </c>
      <c r="D6" s="41" t="s">
        <v>123</v>
      </c>
      <c r="E6" s="44" t="n">
        <f aca="false">'SS2-Capturing Trades'!C12</f>
        <v>3.4320825</v>
      </c>
      <c r="F6" s="44" t="n">
        <f aca="false">'SS2-Capturing Trades'!C12*Assumptions!C57/Assumptions!C43</f>
        <v>4.6843755</v>
      </c>
      <c r="G6" s="44" t="n">
        <f aca="false">'SS2-Capturing Trades'!C12*Assumptions!C66/Assumptions!C43</f>
        <v>9.7963005</v>
      </c>
    </row>
    <row r="7" customFormat="false" ht="15" hidden="false" customHeight="true" outlineLevel="0" collapsed="false">
      <c r="A7" s="41" t="n">
        <v>3</v>
      </c>
      <c r="B7" s="42" t="s">
        <v>125</v>
      </c>
      <c r="C7" s="43" t="s">
        <v>191</v>
      </c>
      <c r="D7" s="41" t="s">
        <v>127</v>
      </c>
      <c r="E7" s="44" t="n">
        <f aca="false">'SS3-Competition'!C14</f>
        <v>1.425</v>
      </c>
      <c r="F7" s="44" t="n">
        <f aca="false">'SS3-Competition'!C14*Assumptions!C57/Assumptions!C43</f>
        <v>1.94495181496948</v>
      </c>
      <c r="G7" s="44" t="n">
        <f aca="false">'SS3-Competition'!C14*Assumptions!C66/Assumptions!C43</f>
        <v>4.06742210086733</v>
      </c>
    </row>
    <row r="8" customFormat="false" ht="15" hidden="false" customHeight="true" outlineLevel="0" collapsed="false">
      <c r="A8" s="41" t="n">
        <v>4</v>
      </c>
      <c r="B8" s="42" t="s">
        <v>128</v>
      </c>
      <c r="C8" s="43" t="s">
        <v>192</v>
      </c>
      <c r="D8" s="41" t="s">
        <v>47</v>
      </c>
      <c r="E8" s="44" t="n">
        <f aca="false">'SS4-Inventory Risk'!C14</f>
        <v>1.764</v>
      </c>
      <c r="F8" s="44" t="n">
        <f aca="false">'SS4-Inventory Risk'!C14*Assumptions!C57/Assumptions!C43</f>
        <v>2.40764561516222</v>
      </c>
      <c r="G8" s="44" t="n">
        <f aca="false">'SS4-Inventory Risk'!C14*Assumptions!C66/Assumptions!C43</f>
        <v>5.03504041117893</v>
      </c>
    </row>
    <row r="9" customFormat="false" ht="15" hidden="false" customHeight="true" outlineLevel="0" collapsed="false">
      <c r="A9" s="41" t="n">
        <v>5</v>
      </c>
      <c r="B9" s="42" t="s">
        <v>130</v>
      </c>
      <c r="C9" s="43" t="s">
        <v>193</v>
      </c>
      <c r="D9" s="41" t="s">
        <v>54</v>
      </c>
      <c r="E9" s="44" t="n">
        <f aca="false">'SS5-Oper Efficiencies'!C14</f>
        <v>1.764</v>
      </c>
      <c r="F9" s="44" t="n">
        <f aca="false">'SS5-Oper Efficiencies'!C14*Assumptions!C57/Assumptions!C43</f>
        <v>2.40764561516222</v>
      </c>
      <c r="G9" s="44" t="n">
        <f aca="false">'SS5-Oper Efficiencies'!C14*Assumptions!C66/Assumptions!C43</f>
        <v>5.03504041117893</v>
      </c>
    </row>
    <row r="10" customFormat="false" ht="15" hidden="false" customHeight="true" outlineLevel="0" collapsed="false">
      <c r="B10" s="46" t="s">
        <v>131</v>
      </c>
      <c r="E10" s="47" t="n">
        <f aca="false">SUM(E5:E9)</f>
        <v>11.817165</v>
      </c>
      <c r="F10" s="47" t="n">
        <f aca="false">SUM(F5:F9)</f>
        <v>16.1289940452939</v>
      </c>
      <c r="G10" s="47" t="n">
        <f aca="false">SUM(G5:G9)</f>
        <v>33.7301039232252</v>
      </c>
    </row>
  </sheetData>
  <mergeCells count="1">
    <mergeCell ref="A1:G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7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0"/>
    <col collapsed="false" customWidth="true" hidden="false" outlineLevel="0" max="2" min="2" style="1" width="4"/>
    <col collapsed="false" customWidth="true" hidden="false" outlineLevel="0" max="3" min="3" style="1" width="18"/>
    <col collapsed="false" customWidth="true" hidden="false" outlineLevel="0" max="4" min="4" style="1" width="16"/>
    <col collapsed="false" customWidth="true" hidden="false" outlineLevel="0" max="5" min="5" style="1" width="35"/>
    <col collapsed="false" customWidth="true" hidden="false" outlineLevel="0" max="6" min="6" style="1" width="30"/>
  </cols>
  <sheetData>
    <row r="1" customFormat="false" ht="17.25" hidden="false" customHeight="true" outlineLevel="0" collapsed="false">
      <c r="A1" s="38" t="s">
        <v>194</v>
      </c>
      <c r="B1" s="38"/>
      <c r="C1" s="38"/>
      <c r="D1" s="38"/>
      <c r="E1" s="38"/>
      <c r="F1" s="38"/>
    </row>
    <row r="3" customFormat="false" ht="17.25" hidden="false" customHeight="true" outlineLevel="0" collapsed="false">
      <c r="A3" s="38" t="s">
        <v>195</v>
      </c>
      <c r="B3" s="38"/>
      <c r="C3" s="38"/>
      <c r="D3" s="38"/>
      <c r="E3" s="38"/>
      <c r="F3" s="38"/>
    </row>
    <row r="5" customFormat="false" ht="15" hidden="false" customHeight="true" outlineLevel="0" collapsed="false">
      <c r="A5" s="51" t="s">
        <v>196</v>
      </c>
      <c r="B5" s="52"/>
      <c r="C5" s="51" t="s">
        <v>197</v>
      </c>
      <c r="D5" s="51" t="s">
        <v>198</v>
      </c>
      <c r="E5" s="51" t="s">
        <v>199</v>
      </c>
    </row>
    <row r="6" customFormat="false" ht="15" hidden="false" customHeight="true" outlineLevel="0" collapsed="false">
      <c r="A6" s="53" t="s">
        <v>200</v>
      </c>
      <c r="C6" s="54" t="n">
        <v>14.7</v>
      </c>
      <c r="D6" s="53" t="s">
        <v>201</v>
      </c>
      <c r="E6" s="39" t="s">
        <v>202</v>
      </c>
    </row>
    <row r="7" customFormat="false" ht="15" hidden="false" customHeight="true" outlineLevel="0" collapsed="false">
      <c r="A7" s="53" t="s">
        <v>203</v>
      </c>
      <c r="C7" s="54" t="n">
        <v>0.77</v>
      </c>
      <c r="D7" s="53"/>
    </row>
    <row r="8" customFormat="false" ht="15" hidden="false" customHeight="true" outlineLevel="0" collapsed="false">
      <c r="A8" s="53" t="s">
        <v>204</v>
      </c>
      <c r="C8" s="54" t="n">
        <v>0.23</v>
      </c>
      <c r="D8" s="53"/>
    </row>
    <row r="9" customFormat="false" ht="15" hidden="false" customHeight="true" outlineLevel="0" collapsed="false">
      <c r="A9" s="53" t="s">
        <v>205</v>
      </c>
      <c r="C9" s="55" t="n">
        <f aca="false">C6*C7</f>
        <v>11.319</v>
      </c>
      <c r="D9" s="53" t="s">
        <v>201</v>
      </c>
    </row>
    <row r="10" customFormat="false" ht="15" hidden="false" customHeight="true" outlineLevel="0" collapsed="false">
      <c r="A10" s="53" t="s">
        <v>206</v>
      </c>
      <c r="C10" s="55" t="n">
        <f aca="false">C6*C8</f>
        <v>3.381</v>
      </c>
      <c r="D10" s="53" t="s">
        <v>201</v>
      </c>
    </row>
    <row r="12" customFormat="false" ht="15" hidden="false" customHeight="true" outlineLevel="0" collapsed="false">
      <c r="A12" s="53" t="s">
        <v>207</v>
      </c>
      <c r="C12" s="54" t="n">
        <v>11.5</v>
      </c>
      <c r="D12" s="53" t="s">
        <v>201</v>
      </c>
      <c r="E12" s="39" t="s">
        <v>202</v>
      </c>
    </row>
    <row r="13" customFormat="false" ht="15" hidden="false" customHeight="true" outlineLevel="0" collapsed="false">
      <c r="A13" s="53" t="s">
        <v>208</v>
      </c>
      <c r="C13" s="56" t="n">
        <v>0.83</v>
      </c>
    </row>
    <row r="14" customFormat="false" ht="15" hidden="false" customHeight="true" outlineLevel="0" collapsed="false">
      <c r="A14" s="53" t="s">
        <v>209</v>
      </c>
      <c r="C14" s="57" t="n">
        <f aca="false">1-C13</f>
        <v>0.17</v>
      </c>
    </row>
    <row r="15" customFormat="false" ht="15" hidden="false" customHeight="true" outlineLevel="0" collapsed="false">
      <c r="A15" s="53" t="s">
        <v>210</v>
      </c>
      <c r="C15" s="55" t="n">
        <f aca="false">C12*C13</f>
        <v>9.545</v>
      </c>
      <c r="D15" s="53" t="s">
        <v>201</v>
      </c>
    </row>
    <row r="16" customFormat="false" ht="15" hidden="false" customHeight="true" outlineLevel="0" collapsed="false">
      <c r="A16" s="53" t="s">
        <v>211</v>
      </c>
      <c r="C16" s="55" t="n">
        <f aca="false">C12*C14</f>
        <v>1.955</v>
      </c>
      <c r="D16" s="53" t="s">
        <v>201</v>
      </c>
    </row>
    <row r="18" customFormat="false" ht="15" hidden="false" customHeight="true" outlineLevel="0" collapsed="false">
      <c r="A18" s="53" t="s">
        <v>212</v>
      </c>
      <c r="C18" s="54" t="n">
        <v>7.6</v>
      </c>
      <c r="D18" s="53" t="s">
        <v>213</v>
      </c>
      <c r="E18" s="39" t="s">
        <v>214</v>
      </c>
    </row>
    <row r="19" customFormat="false" ht="15" hidden="false" customHeight="true" outlineLevel="0" collapsed="false">
      <c r="A19" s="53" t="s">
        <v>215</v>
      </c>
      <c r="C19" s="58" t="n">
        <v>294</v>
      </c>
      <c r="D19" s="53" t="s">
        <v>213</v>
      </c>
      <c r="E19" s="39" t="s">
        <v>216</v>
      </c>
    </row>
    <row r="20" customFormat="false" ht="15" hidden="false" customHeight="true" outlineLevel="0" collapsed="false">
      <c r="A20" s="53" t="s">
        <v>217</v>
      </c>
      <c r="C20" s="58" t="n">
        <v>36</v>
      </c>
      <c r="D20" s="53" t="s">
        <v>218</v>
      </c>
    </row>
    <row r="21" customFormat="false" ht="15" hidden="false" customHeight="true" outlineLevel="0" collapsed="false">
      <c r="A21" s="53" t="s">
        <v>219</v>
      </c>
      <c r="C21" s="59" t="n">
        <v>0.02</v>
      </c>
      <c r="E21" s="39" t="s">
        <v>220</v>
      </c>
    </row>
    <row r="22" customFormat="false" ht="15" hidden="false" customHeight="true" outlineLevel="0" collapsed="false">
      <c r="A22" s="53" t="s">
        <v>221</v>
      </c>
      <c r="C22" s="54" t="n">
        <v>3</v>
      </c>
      <c r="D22" s="53" t="s">
        <v>201</v>
      </c>
      <c r="E22" s="39" t="s">
        <v>222</v>
      </c>
    </row>
    <row r="23" customFormat="false" ht="15" hidden="false" customHeight="true" outlineLevel="0" collapsed="false">
      <c r="A23" s="53" t="s">
        <v>223</v>
      </c>
      <c r="C23" s="54" t="n">
        <v>5</v>
      </c>
      <c r="D23" s="53" t="s">
        <v>201</v>
      </c>
    </row>
    <row r="24" customFormat="false" ht="15" hidden="false" customHeight="true" outlineLevel="0" collapsed="false">
      <c r="A24" s="53" t="s">
        <v>224</v>
      </c>
      <c r="C24" s="54" t="n">
        <v>2.5</v>
      </c>
      <c r="D24" s="53" t="s">
        <v>201</v>
      </c>
      <c r="E24" s="39" t="s">
        <v>225</v>
      </c>
    </row>
    <row r="25" customFormat="false" ht="15" hidden="false" customHeight="true" outlineLevel="0" collapsed="false">
      <c r="A25" s="53" t="s">
        <v>226</v>
      </c>
      <c r="C25" s="54" t="n">
        <v>1.5</v>
      </c>
      <c r="D25" s="53" t="s">
        <v>201</v>
      </c>
      <c r="E25" s="39" t="s">
        <v>227</v>
      </c>
    </row>
    <row r="26" customFormat="false" ht="15" hidden="false" customHeight="true" outlineLevel="0" collapsed="false">
      <c r="A26" s="53" t="s">
        <v>228</v>
      </c>
      <c r="C26" s="58" t="n">
        <v>25</v>
      </c>
      <c r="D26" s="53" t="s">
        <v>213</v>
      </c>
      <c r="E26" s="39" t="s">
        <v>229</v>
      </c>
    </row>
    <row r="27" customFormat="false" ht="15" hidden="false" customHeight="true" outlineLevel="0" collapsed="false">
      <c r="A27" s="53" t="s">
        <v>230</v>
      </c>
      <c r="C27" s="54" t="n">
        <v>16.5</v>
      </c>
      <c r="D27" s="53" t="s">
        <v>213</v>
      </c>
      <c r="E27" s="39" t="s">
        <v>231</v>
      </c>
    </row>
    <row r="29" customFormat="false" ht="17.25" hidden="false" customHeight="true" outlineLevel="0" collapsed="false">
      <c r="A29" s="38" t="s">
        <v>232</v>
      </c>
      <c r="B29" s="38"/>
      <c r="C29" s="38"/>
      <c r="D29" s="38"/>
      <c r="E29" s="38"/>
      <c r="F29" s="38"/>
    </row>
    <row r="31" customFormat="false" ht="15" hidden="false" customHeight="true" outlineLevel="0" collapsed="false">
      <c r="A31" s="51" t="s">
        <v>233</v>
      </c>
      <c r="B31" s="51"/>
      <c r="C31" s="51" t="s">
        <v>34</v>
      </c>
      <c r="D31" s="51" t="s">
        <v>47</v>
      </c>
      <c r="E31" s="51" t="s">
        <v>54</v>
      </c>
      <c r="F31" s="51" t="s">
        <v>234</v>
      </c>
    </row>
    <row r="32" customFormat="false" ht="15" hidden="false" customHeight="true" outlineLevel="0" collapsed="false">
      <c r="A32" s="53" t="s">
        <v>235</v>
      </c>
      <c r="C32" s="60" t="n">
        <v>0.0494</v>
      </c>
      <c r="D32" s="60" t="n">
        <v>0.1049</v>
      </c>
      <c r="E32" s="60" t="n">
        <v>0.309</v>
      </c>
      <c r="F32" s="61" t="n">
        <v>315750</v>
      </c>
    </row>
    <row r="33" customFormat="false" ht="15" hidden="false" customHeight="true" outlineLevel="0" collapsed="false">
      <c r="A33" s="53" t="s">
        <v>236</v>
      </c>
      <c r="C33" s="60" t="n">
        <v>0.0877</v>
      </c>
      <c r="D33" s="60" t="n">
        <v>0.184</v>
      </c>
      <c r="E33" s="60" t="n">
        <v>0.515</v>
      </c>
      <c r="F33" s="61" t="n">
        <v>509811</v>
      </c>
    </row>
    <row r="34" customFormat="false" ht="15" hidden="false" customHeight="true" outlineLevel="0" collapsed="false">
      <c r="A34" s="62" t="s">
        <v>237</v>
      </c>
      <c r="C34" s="63" t="n">
        <f aca="false">C33-C32</f>
        <v>0.0383</v>
      </c>
      <c r="D34" s="63" t="n">
        <f aca="false">D33-D32</f>
        <v>0.0791</v>
      </c>
      <c r="E34" s="63" t="n">
        <f aca="false">E33-E32</f>
        <v>0.206</v>
      </c>
    </row>
    <row r="35" customFormat="false" ht="15" hidden="false" customHeight="true" outlineLevel="0" collapsed="false">
      <c r="A35" s="53"/>
    </row>
    <row r="36" customFormat="false" ht="15" hidden="false" customHeight="true" outlineLevel="0" collapsed="false">
      <c r="A36" s="53" t="s">
        <v>238</v>
      </c>
      <c r="C36" s="60" t="n">
        <v>0.0823</v>
      </c>
      <c r="D36" s="60" t="n">
        <v>0.1589</v>
      </c>
      <c r="E36" s="60" t="n">
        <v>0.4169</v>
      </c>
      <c r="F36" s="61" t="n">
        <v>97816</v>
      </c>
    </row>
    <row r="37" customFormat="false" ht="15" hidden="false" customHeight="true" outlineLevel="0" collapsed="false">
      <c r="A37" s="53" t="s">
        <v>239</v>
      </c>
      <c r="C37" s="60" t="n">
        <v>0.1571</v>
      </c>
      <c r="D37" s="60" t="n">
        <v>0.307</v>
      </c>
      <c r="E37" s="60" t="n">
        <v>0.789</v>
      </c>
      <c r="F37" s="61" t="n">
        <v>193033</v>
      </c>
    </row>
    <row r="38" customFormat="false" ht="15" hidden="false" customHeight="true" outlineLevel="0" collapsed="false">
      <c r="A38" s="62" t="s">
        <v>240</v>
      </c>
      <c r="C38" s="63" t="n">
        <f aca="false">C37-C36</f>
        <v>0.0748</v>
      </c>
      <c r="D38" s="63" t="n">
        <f aca="false">D37-D36</f>
        <v>0.1481</v>
      </c>
      <c r="E38" s="63" t="n">
        <f aca="false">E37-E36</f>
        <v>0.3721</v>
      </c>
    </row>
    <row r="40" customFormat="false" ht="15" hidden="false" customHeight="true" outlineLevel="0" collapsed="false">
      <c r="A40" s="51" t="s">
        <v>241</v>
      </c>
      <c r="B40" s="51"/>
      <c r="C40" s="51" t="s">
        <v>34</v>
      </c>
      <c r="D40" s="51" t="s">
        <v>47</v>
      </c>
      <c r="E40" s="51" t="s">
        <v>54</v>
      </c>
    </row>
    <row r="41" customFormat="false" ht="15" hidden="false" customHeight="true" outlineLevel="0" collapsed="false">
      <c r="A41" s="53" t="s">
        <v>242</v>
      </c>
      <c r="C41" s="64" t="n">
        <f aca="false">C34/100</f>
        <v>0.000383</v>
      </c>
      <c r="D41" s="64" t="n">
        <f aca="false">D34/100</f>
        <v>0.000791</v>
      </c>
      <c r="E41" s="64" t="n">
        <f aca="false">E34/100</f>
        <v>0.00206</v>
      </c>
    </row>
    <row r="42" customFormat="false" ht="15" hidden="false" customHeight="true" outlineLevel="0" collapsed="false">
      <c r="A42" s="53" t="s">
        <v>243</v>
      </c>
      <c r="C42" s="64" t="n">
        <f aca="false">C38/100</f>
        <v>0.000748</v>
      </c>
      <c r="D42" s="64" t="n">
        <f aca="false">D38/100</f>
        <v>0.001481</v>
      </c>
      <c r="E42" s="64" t="n">
        <f aca="false">E38/100</f>
        <v>0.003721</v>
      </c>
    </row>
    <row r="43" customFormat="false" ht="15" hidden="false" customHeight="true" outlineLevel="0" collapsed="false">
      <c r="A43" s="62" t="s">
        <v>244</v>
      </c>
      <c r="C43" s="65" t="n">
        <f aca="false">C41*C7+C42*C8</f>
        <v>0.00046695</v>
      </c>
      <c r="F43" s="39" t="s">
        <v>245</v>
      </c>
    </row>
    <row r="45" customFormat="false" ht="15" hidden="false" customHeight="true" outlineLevel="0" collapsed="false">
      <c r="A45" s="51" t="s">
        <v>246</v>
      </c>
      <c r="B45" s="51"/>
      <c r="C45" s="51" t="s">
        <v>34</v>
      </c>
      <c r="D45" s="51" t="s">
        <v>47</v>
      </c>
      <c r="E45" s="51" t="s">
        <v>54</v>
      </c>
    </row>
    <row r="46" customFormat="false" ht="15" hidden="false" customHeight="true" outlineLevel="0" collapsed="false">
      <c r="A46" s="53" t="s">
        <v>247</v>
      </c>
      <c r="C46" s="66" t="n">
        <f aca="false">C34/C33</f>
        <v>0.436716077537058</v>
      </c>
      <c r="D46" s="66" t="n">
        <f aca="false">D34/D33</f>
        <v>0.429891304347826</v>
      </c>
      <c r="E46" s="66" t="n">
        <f aca="false">E34/E33</f>
        <v>0.4</v>
      </c>
    </row>
    <row r="47" customFormat="false" ht="15" hidden="false" customHeight="true" outlineLevel="0" collapsed="false">
      <c r="A47" s="53" t="s">
        <v>248</v>
      </c>
      <c r="C47" s="66" t="n">
        <f aca="false">C38/C37</f>
        <v>0.476129853596435</v>
      </c>
      <c r="D47" s="66" t="n">
        <f aca="false">D38/D37</f>
        <v>0.482410423452769</v>
      </c>
      <c r="E47" s="66" t="n">
        <f aca="false">E38/E37</f>
        <v>0.471609632446134</v>
      </c>
    </row>
    <row r="50" customFormat="false" ht="17.25" hidden="false" customHeight="true" outlineLevel="0" collapsed="false">
      <c r="A50" s="38" t="s">
        <v>249</v>
      </c>
      <c r="B50" s="38"/>
      <c r="C50" s="38"/>
      <c r="D50" s="38"/>
      <c r="E50" s="38"/>
      <c r="F50" s="38"/>
    </row>
    <row r="52" customFormat="false" ht="26.25" hidden="false" customHeight="true" outlineLevel="0" collapsed="false">
      <c r="A52" s="51" t="s">
        <v>250</v>
      </c>
      <c r="B52" s="51"/>
      <c r="C52" s="51" t="s">
        <v>34</v>
      </c>
      <c r="D52" s="51" t="s">
        <v>47</v>
      </c>
      <c r="E52" s="51" t="s">
        <v>54</v>
      </c>
      <c r="F52" s="51" t="s">
        <v>251</v>
      </c>
    </row>
    <row r="53" customFormat="false" ht="15" hidden="false" customHeight="true" outlineLevel="0" collapsed="false">
      <c r="A53" s="53" t="s">
        <v>252</v>
      </c>
      <c r="C53" s="60" t="n">
        <v>0.1</v>
      </c>
      <c r="D53" s="60" t="n">
        <v>0.205</v>
      </c>
      <c r="E53" s="60" t="n">
        <v>0.55</v>
      </c>
      <c r="F53" s="39" t="s">
        <v>253</v>
      </c>
    </row>
    <row r="54" customFormat="false" ht="15" hidden="false" customHeight="true" outlineLevel="0" collapsed="false">
      <c r="A54" s="53" t="s">
        <v>254</v>
      </c>
      <c r="C54" s="60" t="n">
        <v>0.19</v>
      </c>
      <c r="D54" s="60" t="n">
        <v>0.37</v>
      </c>
      <c r="E54" s="60" t="n">
        <v>0.95</v>
      </c>
      <c r="F54" s="39" t="s">
        <v>255</v>
      </c>
    </row>
    <row r="55" customFormat="false" ht="15" hidden="false" customHeight="true" outlineLevel="0" collapsed="false">
      <c r="A55" s="62" t="s">
        <v>256</v>
      </c>
      <c r="C55" s="63" t="n">
        <f aca="false">C53-C32</f>
        <v>0.0506</v>
      </c>
      <c r="D55" s="63" t="n">
        <f aca="false">D53-D32</f>
        <v>0.1001</v>
      </c>
      <c r="E55" s="63" t="n">
        <f aca="false">E53-E32</f>
        <v>0.241</v>
      </c>
    </row>
    <row r="56" customFormat="false" ht="15" hidden="false" customHeight="true" outlineLevel="0" collapsed="false">
      <c r="A56" s="62" t="s">
        <v>257</v>
      </c>
      <c r="C56" s="63" t="n">
        <f aca="false">C54-C36</f>
        <v>0.1077</v>
      </c>
      <c r="D56" s="63" t="n">
        <f aca="false">D54-D36</f>
        <v>0.2111</v>
      </c>
      <c r="E56" s="63" t="n">
        <f aca="false">E54-E36</f>
        <v>0.5331</v>
      </c>
    </row>
    <row r="57" customFormat="false" ht="15" hidden="false" customHeight="true" outlineLevel="0" collapsed="false">
      <c r="A57" s="62" t="s">
        <v>258</v>
      </c>
      <c r="C57" s="65" t="n">
        <f aca="false">(C55/100)*C7+(C56/100)*C8</f>
        <v>0.00063733</v>
      </c>
    </row>
    <row r="59" customFormat="false" ht="17.25" hidden="false" customHeight="true" outlineLevel="0" collapsed="false">
      <c r="A59" s="38" t="s">
        <v>259</v>
      </c>
      <c r="B59" s="38"/>
      <c r="C59" s="38"/>
      <c r="D59" s="38"/>
      <c r="E59" s="38"/>
      <c r="F59" s="38"/>
    </row>
    <row r="61" customFormat="false" ht="26.25" hidden="false" customHeight="true" outlineLevel="0" collapsed="false">
      <c r="A61" s="51" t="s">
        <v>260</v>
      </c>
      <c r="B61" s="51"/>
      <c r="C61" s="51" t="s">
        <v>34</v>
      </c>
      <c r="D61" s="51" t="s">
        <v>47</v>
      </c>
      <c r="E61" s="51" t="s">
        <v>54</v>
      </c>
      <c r="F61" s="51" t="s">
        <v>251</v>
      </c>
    </row>
    <row r="62" customFormat="false" ht="15" hidden="false" customHeight="true" outlineLevel="0" collapsed="false">
      <c r="A62" s="53" t="s">
        <v>261</v>
      </c>
      <c r="C62" s="60" t="n">
        <v>0.15</v>
      </c>
      <c r="D62" s="60" t="n">
        <v>0.325</v>
      </c>
      <c r="E62" s="60" t="n">
        <v>0.8</v>
      </c>
      <c r="F62" s="39" t="s">
        <v>262</v>
      </c>
    </row>
    <row r="63" customFormat="false" ht="15" hidden="false" customHeight="true" outlineLevel="0" collapsed="false">
      <c r="A63" s="53" t="s">
        <v>263</v>
      </c>
      <c r="C63" s="60" t="n">
        <v>0.325</v>
      </c>
      <c r="D63" s="60" t="n">
        <v>0.65</v>
      </c>
      <c r="E63" s="60" t="n">
        <v>1.5</v>
      </c>
      <c r="F63" s="39" t="s">
        <v>264</v>
      </c>
    </row>
    <row r="64" customFormat="false" ht="15" hidden="false" customHeight="true" outlineLevel="0" collapsed="false">
      <c r="A64" s="62" t="s">
        <v>265</v>
      </c>
      <c r="C64" s="63" t="n">
        <f aca="false">C62-C32</f>
        <v>0.1006</v>
      </c>
      <c r="D64" s="63" t="n">
        <f aca="false">D62-D32</f>
        <v>0.2201</v>
      </c>
      <c r="E64" s="63" t="n">
        <f aca="false">E62-E32</f>
        <v>0.491</v>
      </c>
    </row>
    <row r="65" customFormat="false" ht="15" hidden="false" customHeight="true" outlineLevel="0" collapsed="false">
      <c r="A65" s="62" t="s">
        <v>266</v>
      </c>
      <c r="C65" s="63" t="n">
        <f aca="false">C63-C36</f>
        <v>0.2427</v>
      </c>
      <c r="D65" s="63" t="n">
        <f aca="false">D63-D36</f>
        <v>0.4911</v>
      </c>
      <c r="E65" s="63" t="n">
        <f aca="false">E63-E36</f>
        <v>1.0831</v>
      </c>
    </row>
    <row r="66" customFormat="false" ht="15" hidden="false" customHeight="true" outlineLevel="0" collapsed="false">
      <c r="A66" s="62" t="s">
        <v>267</v>
      </c>
      <c r="C66" s="65" t="n">
        <f aca="false">(C64/100)*C7+(C65/100)*C8</f>
        <v>0.00133283</v>
      </c>
    </row>
    <row r="68" customFormat="false" ht="15" hidden="false" customHeight="true" outlineLevel="0" collapsed="false">
      <c r="A68" s="39" t="s">
        <v>268</v>
      </c>
    </row>
    <row r="70" customFormat="false" ht="15" hidden="false" customHeight="true" outlineLevel="0" collapsed="false">
      <c r="A70" s="67" t="s">
        <v>269</v>
      </c>
    </row>
    <row r="71" customFormat="false" ht="15" hidden="false" customHeight="true" outlineLevel="0" collapsed="false">
      <c r="A71" s="1" t="s">
        <v>270</v>
      </c>
      <c r="C71" s="68" t="n">
        <v>0.21</v>
      </c>
      <c r="D71" s="1" t="s">
        <v>271</v>
      </c>
      <c r="E71" s="1" t="s">
        <v>272</v>
      </c>
    </row>
    <row r="72" customFormat="false" ht="15" hidden="false" customHeight="true" outlineLevel="0" collapsed="false">
      <c r="A72" s="1" t="s">
        <v>273</v>
      </c>
      <c r="C72" s="68" t="n">
        <v>0.37</v>
      </c>
      <c r="D72" s="1" t="s">
        <v>271</v>
      </c>
      <c r="E72" s="1" t="s">
        <v>274</v>
      </c>
    </row>
    <row r="73" customFormat="false" ht="15" hidden="false" customHeight="true" outlineLevel="0" collapsed="false">
      <c r="A73" s="1" t="s">
        <v>275</v>
      </c>
      <c r="C73" s="69" t="n">
        <f aca="false">C15*C71/100+C16*C72/100</f>
        <v>0.027278</v>
      </c>
      <c r="D73" s="1" t="s">
        <v>201</v>
      </c>
      <c r="E73" s="1" t="s">
        <v>276</v>
      </c>
    </row>
    <row r="74" customFormat="false" ht="15" hidden="false" customHeight="true" outlineLevel="0" collapsed="false">
      <c r="A74" s="1" t="s">
        <v>277</v>
      </c>
      <c r="C74" s="70" t="n">
        <f aca="false">C26*0.15</f>
        <v>3.75</v>
      </c>
      <c r="D74" s="1" t="s">
        <v>213</v>
      </c>
      <c r="E74" s="1" t="s">
        <v>278</v>
      </c>
    </row>
    <row r="75" customFormat="false" ht="15" hidden="false" customHeight="true" outlineLevel="0" collapsed="false">
      <c r="A75" s="1" t="s">
        <v>279</v>
      </c>
      <c r="C75" s="71" t="n">
        <f aca="false">C74/(C73*1000)</f>
        <v>0.137473421805118</v>
      </c>
      <c r="E75" s="1" t="s">
        <v>280</v>
      </c>
    </row>
  </sheetData>
  <mergeCells count="5">
    <mergeCell ref="A1:F1"/>
    <mergeCell ref="A3:F3"/>
    <mergeCell ref="A29:F29"/>
    <mergeCell ref="A50:F50"/>
    <mergeCell ref="A59:F59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5" min="1" style="1" width="20"/>
    <col collapsed="false" customWidth="true" hidden="false" outlineLevel="0" max="6" min="6" style="1" width="45"/>
    <col collapsed="false" customWidth="true" hidden="false" outlineLevel="0" max="8" min="7" style="1" width="14"/>
  </cols>
  <sheetData>
    <row r="1" customFormat="false" ht="17.25" hidden="false" customHeight="true" outlineLevel="0" collapsed="false">
      <c r="A1" s="38" t="s">
        <v>281</v>
      </c>
      <c r="B1" s="38"/>
      <c r="C1" s="38"/>
      <c r="D1" s="38"/>
      <c r="E1" s="38"/>
      <c r="F1" s="38"/>
      <c r="G1" s="38"/>
      <c r="H1" s="38"/>
    </row>
    <row r="2" customFormat="false" ht="15" hidden="false" customHeight="true" outlineLevel="0" collapsed="false">
      <c r="A2" s="39" t="s">
        <v>282</v>
      </c>
    </row>
    <row r="4" customFormat="false" ht="15" hidden="false" customHeight="true" outlineLevel="0" collapsed="false">
      <c r="A4" s="72" t="s">
        <v>283</v>
      </c>
      <c r="B4" s="72" t="s">
        <v>284</v>
      </c>
      <c r="C4" s="72" t="s">
        <v>34</v>
      </c>
      <c r="D4" s="72" t="s">
        <v>47</v>
      </c>
      <c r="E4" s="72" t="s">
        <v>54</v>
      </c>
      <c r="F4" s="72" t="s">
        <v>285</v>
      </c>
      <c r="G4" s="72" t="s">
        <v>286</v>
      </c>
      <c r="H4" s="72" t="s">
        <v>287</v>
      </c>
    </row>
    <row r="5" customFormat="false" ht="15" hidden="false" customHeight="true" outlineLevel="0" collapsed="false">
      <c r="A5" s="42" t="s">
        <v>288</v>
      </c>
      <c r="B5" s="41" t="s">
        <v>289</v>
      </c>
      <c r="C5" s="73" t="n">
        <f aca="false">Assumptions!C32</f>
        <v>0.0494</v>
      </c>
      <c r="D5" s="73" t="n">
        <f aca="false">Assumptions!D32</f>
        <v>0.1049</v>
      </c>
      <c r="E5" s="73" t="n">
        <f aca="false">Assumptions!E32</f>
        <v>0.309</v>
      </c>
      <c r="F5" s="74" t="s">
        <v>290</v>
      </c>
      <c r="G5" s="41" t="s">
        <v>291</v>
      </c>
      <c r="H5" s="41" t="s">
        <v>292</v>
      </c>
    </row>
    <row r="6" customFormat="false" ht="15" hidden="false" customHeight="true" outlineLevel="0" collapsed="false">
      <c r="A6" s="42" t="s">
        <v>288</v>
      </c>
      <c r="B6" s="41" t="s">
        <v>293</v>
      </c>
      <c r="C6" s="73" t="n">
        <f aca="false">Assumptions!C33</f>
        <v>0.0877</v>
      </c>
      <c r="D6" s="73" t="n">
        <f aca="false">Assumptions!D33</f>
        <v>0.184</v>
      </c>
      <c r="E6" s="73" t="n">
        <f aca="false">Assumptions!E33</f>
        <v>0.515</v>
      </c>
      <c r="F6" s="74" t="s">
        <v>294</v>
      </c>
      <c r="G6" s="41" t="s">
        <v>291</v>
      </c>
      <c r="H6" s="41" t="s">
        <v>292</v>
      </c>
    </row>
    <row r="7" customFormat="false" ht="15" hidden="false" customHeight="true" outlineLevel="0" collapsed="false">
      <c r="A7" s="42" t="s">
        <v>288</v>
      </c>
      <c r="B7" s="41" t="s">
        <v>295</v>
      </c>
      <c r="C7" s="73" t="n">
        <f aca="false">Assumptions!C53</f>
        <v>0.1</v>
      </c>
      <c r="D7" s="75" t="n">
        <v>0.21</v>
      </c>
      <c r="E7" s="73" t="n">
        <f aca="false">Assumptions!E53</f>
        <v>0.55</v>
      </c>
      <c r="F7" s="74" t="s">
        <v>296</v>
      </c>
      <c r="G7" s="41" t="s">
        <v>297</v>
      </c>
      <c r="H7" s="41" t="s">
        <v>298</v>
      </c>
    </row>
    <row r="8" customFormat="false" ht="15" hidden="false" customHeight="true" outlineLevel="0" collapsed="false">
      <c r="A8" s="42" t="s">
        <v>288</v>
      </c>
      <c r="B8" s="41" t="s">
        <v>299</v>
      </c>
      <c r="C8" s="73" t="n">
        <f aca="false">Assumptions!C62</f>
        <v>0.15</v>
      </c>
      <c r="D8" s="73" t="n">
        <f aca="false">Assumptions!D62</f>
        <v>0.325</v>
      </c>
      <c r="E8" s="73" t="n">
        <f aca="false">Assumptions!E62</f>
        <v>0.8</v>
      </c>
      <c r="F8" s="74" t="s">
        <v>300</v>
      </c>
      <c r="G8" s="41" t="s">
        <v>297</v>
      </c>
      <c r="H8" s="41" t="s">
        <v>301</v>
      </c>
    </row>
    <row r="9" customFormat="false" ht="15" hidden="false" customHeight="true" outlineLevel="0" collapsed="false">
      <c r="A9" s="42"/>
      <c r="B9" s="41"/>
      <c r="C9" s="76"/>
      <c r="D9" s="76"/>
      <c r="E9" s="76"/>
      <c r="F9" s="74"/>
      <c r="G9" s="41"/>
      <c r="H9" s="41"/>
    </row>
    <row r="10" customFormat="false" ht="15" hidden="false" customHeight="true" outlineLevel="0" collapsed="false">
      <c r="A10" s="42" t="s">
        <v>302</v>
      </c>
      <c r="B10" s="41" t="s">
        <v>289</v>
      </c>
      <c r="C10" s="73" t="n">
        <f aca="false">Assumptions!C36</f>
        <v>0.0823</v>
      </c>
      <c r="D10" s="73" t="n">
        <f aca="false">Assumptions!D36</f>
        <v>0.1589</v>
      </c>
      <c r="E10" s="73" t="n">
        <f aca="false">Assumptions!E36</f>
        <v>0.4169</v>
      </c>
      <c r="F10" s="74" t="s">
        <v>303</v>
      </c>
      <c r="G10" s="41" t="s">
        <v>291</v>
      </c>
      <c r="H10" s="41" t="s">
        <v>292</v>
      </c>
    </row>
    <row r="11" customFormat="false" ht="15" hidden="false" customHeight="true" outlineLevel="0" collapsed="false">
      <c r="A11" s="42" t="s">
        <v>302</v>
      </c>
      <c r="B11" s="41" t="s">
        <v>293</v>
      </c>
      <c r="C11" s="73" t="n">
        <f aca="false">Assumptions!C37</f>
        <v>0.1571</v>
      </c>
      <c r="D11" s="73" t="n">
        <f aca="false">Assumptions!D37</f>
        <v>0.307</v>
      </c>
      <c r="E11" s="73" t="n">
        <f aca="false">Assumptions!E37</f>
        <v>0.789</v>
      </c>
      <c r="F11" s="74" t="s">
        <v>304</v>
      </c>
      <c r="G11" s="41" t="s">
        <v>291</v>
      </c>
      <c r="H11" s="41" t="s">
        <v>292</v>
      </c>
    </row>
    <row r="12" customFormat="false" ht="15" hidden="false" customHeight="true" outlineLevel="0" collapsed="false">
      <c r="A12" s="42" t="s">
        <v>302</v>
      </c>
      <c r="B12" s="41" t="s">
        <v>295</v>
      </c>
      <c r="C12" s="73" t="n">
        <f aca="false">Assumptions!C54</f>
        <v>0.19</v>
      </c>
      <c r="D12" s="75" t="n">
        <v>0.37</v>
      </c>
      <c r="E12" s="73" t="n">
        <f aca="false">Assumptions!E54</f>
        <v>0.95</v>
      </c>
      <c r="F12" s="74" t="s">
        <v>296</v>
      </c>
      <c r="G12" s="41" t="s">
        <v>297</v>
      </c>
      <c r="H12" s="41" t="s">
        <v>298</v>
      </c>
    </row>
    <row r="13" customFormat="false" ht="15" hidden="false" customHeight="true" outlineLevel="0" collapsed="false">
      <c r="A13" s="42" t="s">
        <v>302</v>
      </c>
      <c r="B13" s="41" t="s">
        <v>299</v>
      </c>
      <c r="C13" s="73" t="n">
        <f aca="false">Assumptions!C63</f>
        <v>0.325</v>
      </c>
      <c r="D13" s="73" t="n">
        <f aca="false">Assumptions!D63</f>
        <v>0.65</v>
      </c>
      <c r="E13" s="73" t="n">
        <f aca="false">Assumptions!E63</f>
        <v>1.5</v>
      </c>
      <c r="F13" s="74" t="s">
        <v>300</v>
      </c>
      <c r="G13" s="41" t="s">
        <v>297</v>
      </c>
      <c r="H13" s="41" t="s">
        <v>301</v>
      </c>
    </row>
    <row r="16" customFormat="false" ht="15" hidden="false" customHeight="true" outlineLevel="0" collapsed="false">
      <c r="A16" s="77" t="s">
        <v>305</v>
      </c>
    </row>
    <row r="17" customFormat="false" ht="15" hidden="false" customHeight="true" outlineLevel="0" collapsed="false">
      <c r="A17" s="42" t="s">
        <v>306</v>
      </c>
      <c r="B17" s="42" t="s">
        <v>307</v>
      </c>
      <c r="C17" s="42" t="s">
        <v>308</v>
      </c>
      <c r="D17" s="42" t="s">
        <v>251</v>
      </c>
    </row>
    <row r="18" customFormat="false" ht="15" hidden="false" customHeight="true" outlineLevel="0" collapsed="false">
      <c r="A18" s="41" t="s">
        <v>309</v>
      </c>
      <c r="B18" s="78" t="n">
        <f aca="false">1-Assumptions!C32/Assumptions!C33</f>
        <v>0.436716077537058</v>
      </c>
      <c r="C18" s="78" t="n">
        <f aca="false">1-Assumptions!C36/Assumptions!C37</f>
        <v>0.476129853596435</v>
      </c>
      <c r="D18" s="74" t="s">
        <v>310</v>
      </c>
    </row>
    <row r="19" customFormat="false" ht="15" hidden="false" customHeight="true" outlineLevel="0" collapsed="false">
      <c r="A19" s="41" t="s">
        <v>295</v>
      </c>
      <c r="B19" s="78" t="n">
        <f aca="false">1-Assumptions!C32/Assumptions!C53</f>
        <v>0.506</v>
      </c>
      <c r="C19" s="78" t="n">
        <f aca="false">1-Assumptions!C36/Assumptions!C54</f>
        <v>0.566842105263158</v>
      </c>
      <c r="D19" s="74" t="s">
        <v>311</v>
      </c>
    </row>
    <row r="20" customFormat="false" ht="15" hidden="false" customHeight="true" outlineLevel="0" collapsed="false">
      <c r="A20" s="41" t="s">
        <v>299</v>
      </c>
      <c r="B20" s="78" t="n">
        <f aca="false">1-Assumptions!C32/Assumptions!C62</f>
        <v>0.670666666666667</v>
      </c>
      <c r="C20" s="78" t="n">
        <f aca="false">1-Assumptions!C36/Assumptions!C63</f>
        <v>0.746769230769231</v>
      </c>
      <c r="D20" s="74" t="s">
        <v>311</v>
      </c>
    </row>
  </sheetData>
  <mergeCells count="1">
    <mergeCell ref="A1: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0"/>
    <col collapsed="false" customWidth="true" hidden="false" outlineLevel="0" max="2" min="2" style="1" width="4"/>
    <col collapsed="false" customWidth="true" hidden="false" outlineLevel="0" max="5" min="3" style="1" width="20"/>
    <col collapsed="false" customWidth="true" hidden="false" outlineLevel="0" max="6" min="6" style="1" width="25"/>
  </cols>
  <sheetData>
    <row r="1" customFormat="false" ht="17.25" hidden="false" customHeight="true" outlineLevel="0" collapsed="false">
      <c r="A1" s="38" t="s">
        <v>312</v>
      </c>
      <c r="B1" s="38"/>
      <c r="C1" s="38"/>
      <c r="D1" s="38"/>
      <c r="E1" s="38"/>
      <c r="F1" s="38"/>
    </row>
    <row r="3" customFormat="false" ht="15" hidden="false" customHeight="true" outlineLevel="0" collapsed="false">
      <c r="A3" s="77" t="s">
        <v>313</v>
      </c>
    </row>
    <row r="4" customFormat="false" ht="15" hidden="false" customHeight="true" outlineLevel="0" collapsed="false">
      <c r="A4" s="53" t="s">
        <v>314</v>
      </c>
      <c r="C4" s="79" t="n">
        <f aca="false">'Buy-Side Summary'!E15</f>
        <v>21.9015294655797</v>
      </c>
    </row>
    <row r="6" customFormat="false" ht="15" hidden="false" customHeight="true" outlineLevel="0" collapsed="false">
      <c r="C6" s="62" t="s">
        <v>315</v>
      </c>
      <c r="D6" s="62" t="s">
        <v>316</v>
      </c>
      <c r="E6" s="62" t="s">
        <v>317</v>
      </c>
    </row>
    <row r="7" customFormat="false" ht="15" hidden="false" customHeight="true" outlineLevel="0" collapsed="false">
      <c r="C7" s="39" t="s">
        <v>318</v>
      </c>
      <c r="D7" s="39" t="s">
        <v>319</v>
      </c>
      <c r="E7" s="39" t="s">
        <v>320</v>
      </c>
    </row>
    <row r="8" customFormat="false" ht="15" hidden="false" customHeight="true" outlineLevel="0" collapsed="false">
      <c r="A8" s="53" t="s">
        <v>321</v>
      </c>
      <c r="C8" s="80" t="n">
        <v>0.05</v>
      </c>
      <c r="D8" s="80" t="n">
        <v>0.15</v>
      </c>
      <c r="E8" s="80" t="n">
        <v>0.3</v>
      </c>
    </row>
    <row r="9" customFormat="false" ht="15" hidden="false" customHeight="true" outlineLevel="0" collapsed="false">
      <c r="A9" s="53" t="s">
        <v>322</v>
      </c>
      <c r="C9" s="80" t="n">
        <v>0.1</v>
      </c>
      <c r="D9" s="80" t="n">
        <v>0.1</v>
      </c>
      <c r="E9" s="80" t="n">
        <v>0.1</v>
      </c>
    </row>
    <row r="10" customFormat="false" ht="15" hidden="false" customHeight="true" outlineLevel="0" collapsed="false">
      <c r="A10" s="53" t="s">
        <v>323</v>
      </c>
      <c r="C10" s="80" t="n">
        <v>0.7</v>
      </c>
      <c r="D10" s="80" t="n">
        <v>0.7</v>
      </c>
      <c r="E10" s="80" t="n">
        <v>0.7</v>
      </c>
    </row>
    <row r="12" customFormat="false" ht="15" hidden="false" customHeight="true" outlineLevel="0" collapsed="false">
      <c r="A12" s="77" t="s">
        <v>324</v>
      </c>
    </row>
    <row r="13" customFormat="false" ht="15" hidden="false" customHeight="true" outlineLevel="0" collapsed="false">
      <c r="A13" s="62" t="s">
        <v>325</v>
      </c>
      <c r="C13" s="81" t="n">
        <f aca="false">$C$4*C8*C9*C10*1000</f>
        <v>76.655353129529</v>
      </c>
      <c r="D13" s="81" t="n">
        <f aca="false">$C$4*D8*D9*D10*1000</f>
        <v>229.966059388587</v>
      </c>
      <c r="E13" s="81" t="n">
        <f aca="false">$C$4*E8*E9*E10*1000</f>
        <v>459.932118777174</v>
      </c>
    </row>
    <row r="15" customFormat="false" ht="15" hidden="false" customHeight="true" outlineLevel="0" collapsed="false">
      <c r="A15" s="77" t="s">
        <v>326</v>
      </c>
    </row>
    <row r="16" customFormat="false" ht="15" hidden="false" customHeight="true" outlineLevel="0" collapsed="false">
      <c r="A16" s="53" t="s">
        <v>327</v>
      </c>
      <c r="C16" s="82" t="n">
        <v>50</v>
      </c>
      <c r="D16" s="82" t="n">
        <v>100</v>
      </c>
      <c r="E16" s="82" t="n">
        <v>150</v>
      </c>
    </row>
    <row r="17" customFormat="false" ht="15" hidden="false" customHeight="true" outlineLevel="0" collapsed="false">
      <c r="A17" s="53" t="s">
        <v>328</v>
      </c>
      <c r="C17" s="82" t="n">
        <v>30</v>
      </c>
      <c r="D17" s="82" t="n">
        <v>52</v>
      </c>
      <c r="E17" s="82" t="n">
        <v>75</v>
      </c>
    </row>
    <row r="18" customFormat="false" ht="15" hidden="false" customHeight="true" outlineLevel="0" collapsed="false">
      <c r="A18" s="53" t="s">
        <v>329</v>
      </c>
      <c r="C18" s="82" t="n">
        <v>20</v>
      </c>
      <c r="D18" s="82" t="n">
        <v>30</v>
      </c>
      <c r="E18" s="82" t="n">
        <v>40</v>
      </c>
    </row>
    <row r="19" customFormat="false" ht="15" hidden="false" customHeight="true" outlineLevel="0" collapsed="false">
      <c r="A19" s="53" t="s">
        <v>330</v>
      </c>
      <c r="C19" s="82" t="n">
        <v>25</v>
      </c>
      <c r="D19" s="82" t="n">
        <v>63</v>
      </c>
      <c r="E19" s="82" t="n">
        <v>100</v>
      </c>
    </row>
    <row r="20" customFormat="false" ht="15" hidden="false" customHeight="true" outlineLevel="0" collapsed="false">
      <c r="A20" s="62" t="s">
        <v>331</v>
      </c>
      <c r="C20" s="83" t="n">
        <f aca="false">SUM(C16:C19)</f>
        <v>125</v>
      </c>
      <c r="D20" s="83" t="n">
        <f aca="false">SUM(D16:D19)</f>
        <v>245</v>
      </c>
      <c r="E20" s="83" t="n">
        <f aca="false">SUM(E16:E19)</f>
        <v>365</v>
      </c>
    </row>
    <row r="22" customFormat="false" ht="15" hidden="false" customHeight="true" outlineLevel="0" collapsed="false">
      <c r="A22" s="84" t="s">
        <v>332</v>
      </c>
      <c r="C22" s="81" t="n">
        <f aca="false">C13+C20</f>
        <v>201.655353129529</v>
      </c>
      <c r="D22" s="81" t="n">
        <f aca="false">D13+D20</f>
        <v>474.966059388587</v>
      </c>
      <c r="E22" s="81" t="n">
        <f aca="false">E13+E20</f>
        <v>824.932118777174</v>
      </c>
    </row>
  </sheetData>
  <mergeCells count="1">
    <mergeCell ref="A1:F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5"/>
    <col collapsed="false" customWidth="true" hidden="false" outlineLevel="0" max="2" min="2" style="1" width="4"/>
    <col collapsed="false" customWidth="true" hidden="false" outlineLevel="0" max="3" min="3" style="1" width="20"/>
    <col collapsed="false" customWidth="true" hidden="false" outlineLevel="0" max="4" min="4" style="1" width="16"/>
    <col collapsed="false" customWidth="true" hidden="false" outlineLevel="0" max="5" min="5" style="1" width="35"/>
  </cols>
  <sheetData>
    <row r="1" customFormat="false" ht="17.25" hidden="false" customHeight="true" outlineLevel="0" collapsed="false">
      <c r="A1" s="38" t="s">
        <v>333</v>
      </c>
      <c r="B1" s="38"/>
      <c r="C1" s="38"/>
      <c r="D1" s="38"/>
      <c r="E1" s="38"/>
    </row>
    <row r="3" customFormat="false" ht="15" hidden="false" customHeight="true" outlineLevel="0" collapsed="false">
      <c r="A3" s="77" t="s">
        <v>334</v>
      </c>
      <c r="C3" s="62" t="s">
        <v>197</v>
      </c>
      <c r="D3" s="62" t="s">
        <v>198</v>
      </c>
      <c r="E3" s="62" t="s">
        <v>335</v>
      </c>
    </row>
    <row r="4" customFormat="false" ht="15" hidden="false" customHeight="true" outlineLevel="0" collapsed="false">
      <c r="A4" s="53" t="s">
        <v>336</v>
      </c>
      <c r="C4" s="85" t="n">
        <f aca="false">Assumptions!C6</f>
        <v>14.7</v>
      </c>
      <c r="D4" s="53" t="s">
        <v>201</v>
      </c>
      <c r="E4" s="39" t="s">
        <v>337</v>
      </c>
    </row>
    <row r="5" customFormat="false" ht="15" hidden="false" customHeight="true" outlineLevel="0" collapsed="false">
      <c r="A5" s="53" t="s">
        <v>244</v>
      </c>
      <c r="C5" s="86" t="n">
        <f aca="false">Assumptions!C43</f>
        <v>0.00046695</v>
      </c>
      <c r="D5" s="53"/>
      <c r="E5" s="39" t="s">
        <v>337</v>
      </c>
    </row>
    <row r="6" customFormat="false" ht="15" hidden="false" customHeight="true" outlineLevel="0" collapsed="false">
      <c r="A6" s="53" t="s">
        <v>338</v>
      </c>
      <c r="C6" s="87" t="n">
        <v>0.5</v>
      </c>
      <c r="D6" s="53"/>
      <c r="E6" s="39" t="s">
        <v>339</v>
      </c>
    </row>
    <row r="8" customFormat="false" ht="15" hidden="false" customHeight="true" outlineLevel="0" collapsed="false">
      <c r="A8" s="77" t="s">
        <v>340</v>
      </c>
    </row>
    <row r="9" customFormat="false" ht="15" hidden="false" customHeight="true" outlineLevel="0" collapsed="false">
      <c r="A9" s="53" t="s">
        <v>341</v>
      </c>
      <c r="C9" s="88" t="n">
        <f aca="false">C4*C5*1000</f>
        <v>6.864165</v>
      </c>
    </row>
    <row r="10" customFormat="false" ht="15" hidden="false" customHeight="true" outlineLevel="0" collapsed="false">
      <c r="A10" s="53" t="s">
        <v>342</v>
      </c>
      <c r="C10" s="88" t="n">
        <f aca="false">C9*C6</f>
        <v>3.4320825</v>
      </c>
    </row>
    <row r="12" customFormat="false" ht="15" hidden="false" customHeight="true" outlineLevel="0" collapsed="false">
      <c r="A12" s="84" t="s">
        <v>343</v>
      </c>
      <c r="C12" s="89" t="n">
        <f aca="false">C10</f>
        <v>3.4320825</v>
      </c>
    </row>
    <row r="14" customFormat="false" ht="15" hidden="false" customHeight="true" outlineLevel="0" collapsed="false">
      <c r="A14" s="77" t="s">
        <v>344</v>
      </c>
    </row>
    <row r="15" customFormat="false" ht="15" hidden="false" customHeight="true" outlineLevel="0" collapsed="false">
      <c r="A15" s="39" t="s">
        <v>345</v>
      </c>
    </row>
    <row r="16" customFormat="false" ht="15" hidden="false" customHeight="true" outlineLevel="0" collapsed="false">
      <c r="A16" s="39" t="s">
        <v>346</v>
      </c>
    </row>
  </sheetData>
  <mergeCells count="1">
    <mergeCell ref="A1:E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45"/>
    <col collapsed="false" customWidth="true" hidden="false" outlineLevel="0" max="2" min="2" style="1" width="4"/>
    <col collapsed="false" customWidth="true" hidden="false" outlineLevel="0" max="3" min="3" style="1" width="20"/>
    <col collapsed="false" customWidth="true" hidden="false" outlineLevel="0" max="4" min="4" style="1" width="16"/>
    <col collapsed="false" customWidth="true" hidden="false" outlineLevel="0" max="5" min="5" style="1" width="35"/>
  </cols>
  <sheetData>
    <row r="1" customFormat="false" ht="17.25" hidden="false" customHeight="true" outlineLevel="0" collapsed="false">
      <c r="A1" s="38" t="s">
        <v>347</v>
      </c>
      <c r="B1" s="38"/>
      <c r="C1" s="38"/>
      <c r="D1" s="38"/>
      <c r="E1" s="38"/>
    </row>
    <row r="3" customFormat="false" ht="15" hidden="false" customHeight="true" outlineLevel="0" collapsed="false">
      <c r="A3" s="77" t="s">
        <v>334</v>
      </c>
      <c r="C3" s="62" t="s">
        <v>197</v>
      </c>
      <c r="D3" s="62" t="s">
        <v>198</v>
      </c>
      <c r="E3" s="62" t="s">
        <v>335</v>
      </c>
    </row>
    <row r="4" customFormat="false" ht="15" hidden="false" customHeight="true" outlineLevel="0" collapsed="false">
      <c r="A4" s="53" t="s">
        <v>336</v>
      </c>
      <c r="C4" s="85" t="n">
        <f aca="false">Assumptions!C6</f>
        <v>14.7</v>
      </c>
      <c r="D4" s="53" t="s">
        <v>201</v>
      </c>
      <c r="E4" s="39" t="s">
        <v>337</v>
      </c>
    </row>
    <row r="5" customFormat="false" ht="15" hidden="false" customHeight="true" outlineLevel="0" collapsed="false">
      <c r="A5" s="53" t="s">
        <v>244</v>
      </c>
      <c r="C5" s="86" t="n">
        <f aca="false">Assumptions!C43</f>
        <v>0.00046695</v>
      </c>
      <c r="D5" s="53"/>
      <c r="E5" s="39" t="s">
        <v>337</v>
      </c>
    </row>
    <row r="6" customFormat="false" ht="15" hidden="false" customHeight="true" outlineLevel="0" collapsed="false">
      <c r="A6" s="53" t="s">
        <v>348</v>
      </c>
      <c r="C6" s="87" t="n">
        <v>0.5</v>
      </c>
      <c r="D6" s="53"/>
      <c r="E6" s="39" t="s">
        <v>339</v>
      </c>
    </row>
    <row r="8" customFormat="false" ht="15" hidden="false" customHeight="true" outlineLevel="0" collapsed="false">
      <c r="A8" s="77" t="s">
        <v>340</v>
      </c>
    </row>
    <row r="9" customFormat="false" ht="15" hidden="false" customHeight="true" outlineLevel="0" collapsed="false">
      <c r="A9" s="53" t="s">
        <v>341</v>
      </c>
      <c r="C9" s="88" t="n">
        <f aca="false">C4*C5*1000</f>
        <v>6.864165</v>
      </c>
    </row>
    <row r="10" customFormat="false" ht="15" hidden="false" customHeight="true" outlineLevel="0" collapsed="false">
      <c r="A10" s="53" t="s">
        <v>349</v>
      </c>
      <c r="C10" s="88" t="n">
        <f aca="false">C9*C6</f>
        <v>3.4320825</v>
      </c>
    </row>
    <row r="12" customFormat="false" ht="15" hidden="false" customHeight="true" outlineLevel="0" collapsed="false">
      <c r="A12" s="84" t="s">
        <v>350</v>
      </c>
      <c r="C12" s="89" t="n">
        <f aca="false">C10</f>
        <v>3.4320825</v>
      </c>
    </row>
    <row r="14" customFormat="false" ht="15" hidden="false" customHeight="true" outlineLevel="0" collapsed="false">
      <c r="A14" s="77" t="s">
        <v>344</v>
      </c>
    </row>
    <row r="15" customFormat="false" ht="15" hidden="false" customHeight="true" outlineLevel="0" collapsed="false">
      <c r="A15" s="39" t="s">
        <v>351</v>
      </c>
    </row>
  </sheetData>
  <mergeCells count="1">
    <mergeCell ref="A1:E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2026-02-12T14:38:57Z</dcterms:created>
  <dc:creator>openpyxl</dc:creator>
  <dc:description/>
  <dc:language>en-US</dc:language>
  <cp:lastModifiedBy/>
  <dcterms:modified xsi:type="dcterms:W3CDTF">2026-02-27T12:30:12Z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